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firstSheet="46" activeTab="61"/>
  </bookViews>
  <sheets>
    <sheet name="айв.16" sheetId="1" r:id="rId1"/>
    <sheet name="айв. 18" sheetId="2" r:id="rId2"/>
    <sheet name="айв.20" sheetId="3" r:id="rId3"/>
    <sheet name="В Р 36" sheetId="4" r:id="rId4"/>
    <sheet name="Гр.1" sheetId="5" r:id="rId5"/>
    <sheet name="Гр.3" sheetId="6" r:id="rId6"/>
    <sheet name="Грес.7" sheetId="7" r:id="rId7"/>
    <sheet name="Гр.15" sheetId="8" r:id="rId8"/>
    <sheet name="Гр.17" sheetId="9" r:id="rId9"/>
    <sheet name="Гр.19" sheetId="10" r:id="rId10"/>
    <sheet name="дем.18" sheetId="11" r:id="rId11"/>
    <sheet name="дем.20" sheetId="12" r:id="rId12"/>
    <sheet name="дем.22" sheetId="13" r:id="rId13"/>
    <sheet name="дем.24" sheetId="14" r:id="rId14"/>
    <sheet name="зем.13" sheetId="15" r:id="rId15"/>
    <sheet name="зем. 15" sheetId="16" r:id="rId16"/>
    <sheet name="зем.22" sheetId="17" r:id="rId17"/>
    <sheet name="Зем.24" sheetId="18" r:id="rId18"/>
    <sheet name="либ.1" sheetId="19" r:id="rId19"/>
    <sheet name="либ.2" sheetId="20" r:id="rId20"/>
    <sheet name="либ.11" sheetId="21" r:id="rId21"/>
    <sheet name="либ.11а" sheetId="22" r:id="rId22"/>
    <sheet name="либ.12" sheetId="23" r:id="rId23"/>
    <sheet name="либ.17" sheetId="25" r:id="rId24"/>
    <sheet name="К.М.60" sheetId="27" r:id="rId25"/>
    <sheet name="К.М.62" sheetId="28" r:id="rId26"/>
    <sheet name="крас.19" sheetId="29" r:id="rId27"/>
    <sheet name="красноф.21" sheetId="30" r:id="rId28"/>
    <sheet name="Пич.1" sheetId="31" r:id="rId29"/>
    <sheet name="пич.3" sheetId="32" r:id="rId30"/>
    <sheet name="пич.5" sheetId="33" r:id="rId31"/>
    <sheet name="пич.9" sheetId="34" r:id="rId32"/>
    <sheet name="пич.9а" sheetId="35" r:id="rId33"/>
    <sheet name="пич.10" sheetId="36" r:id="rId34"/>
    <sheet name="пич.11" sheetId="37" r:id="rId35"/>
    <sheet name="пич.13" sheetId="39" r:id="rId36"/>
    <sheet name="пич.15" sheetId="41" r:id="rId37"/>
    <sheet name="пич.17" sheetId="43" r:id="rId38"/>
    <sheet name="пич.19" sheetId="44" r:id="rId39"/>
    <sheet name="пич.20" sheetId="45" r:id="rId40"/>
    <sheet name="пич.21" sheetId="46" r:id="rId41"/>
    <sheet name="пич.22" sheetId="47" r:id="rId42"/>
    <sheet name="пич.23" sheetId="48" r:id="rId43"/>
    <sheet name="пич.24" sheetId="49" r:id="rId44"/>
    <sheet name="люкс.2" sheetId="50" r:id="rId45"/>
    <sheet name="люкс.2а" sheetId="51" r:id="rId46"/>
    <sheet name="Северная 4" sheetId="52" r:id="rId47"/>
    <sheet name="сед.4а" sheetId="53" r:id="rId48"/>
    <sheet name="сед.8а" sheetId="54" r:id="rId49"/>
    <sheet name="сед.15" sheetId="55" r:id="rId50"/>
    <sheet name="сед.15а" sheetId="56" r:id="rId51"/>
    <sheet name="сед.21" sheetId="57" r:id="rId52"/>
    <sheet name="сед.23" sheetId="58" r:id="rId53"/>
    <sheet name="сед.25" sheetId="59" r:id="rId54"/>
    <sheet name="ст.раз.28" sheetId="60" r:id="rId55"/>
    <sheet name="тр.2а" sheetId="62" r:id="rId56"/>
    <sheet name="тр.4а" sheetId="75" r:id="rId57"/>
    <sheet name="тр.7а" sheetId="76" r:id="rId58"/>
    <sheet name="тр.36а" sheetId="63" r:id="rId59"/>
    <sheet name="тр.40а" sheetId="64" r:id="rId60"/>
    <sheet name="щорса 12" sheetId="78" r:id="rId61"/>
    <sheet name="щорса 16" sheetId="66" r:id="rId62"/>
  </sheets>
  <calcPr calcId="144525"/>
  <fileRecoveryPr autoRecover="0"/>
</workbook>
</file>

<file path=xl/calcChain.xml><?xml version="1.0" encoding="utf-8"?>
<calcChain xmlns="http://schemas.openxmlformats.org/spreadsheetml/2006/main">
  <c r="G27" i="66" l="1"/>
  <c r="F27" i="66"/>
  <c r="G27" i="64"/>
  <c r="F27" i="64"/>
  <c r="G27" i="63"/>
  <c r="F27" i="63"/>
  <c r="G27" i="75"/>
  <c r="F27" i="75"/>
  <c r="G27" i="62"/>
  <c r="F27" i="62"/>
  <c r="G28" i="59"/>
  <c r="F28" i="59"/>
  <c r="G28" i="58" l="1"/>
  <c r="F28" i="58"/>
  <c r="G28" i="56"/>
  <c r="F28" i="56"/>
  <c r="G27" i="55"/>
  <c r="F27" i="55"/>
  <c r="G28" i="54"/>
  <c r="F28" i="54"/>
  <c r="G28" i="53"/>
  <c r="F28" i="53"/>
  <c r="G27" i="48"/>
  <c r="F27" i="48"/>
  <c r="G27" i="46"/>
  <c r="F27" i="46"/>
  <c r="G28" i="44"/>
  <c r="N24" i="44"/>
  <c r="F28" i="44"/>
  <c r="G27" i="43"/>
  <c r="F27" i="43"/>
  <c r="G28" i="41"/>
  <c r="F28" i="41"/>
  <c r="G28" i="39"/>
  <c r="F28" i="39"/>
  <c r="G27" i="37"/>
  <c r="F27" i="37"/>
  <c r="F28" i="35"/>
  <c r="E32" i="66"/>
  <c r="E32" i="78"/>
  <c r="E32" i="64"/>
  <c r="E32" i="63"/>
  <c r="E32" i="76"/>
  <c r="E32" i="75"/>
  <c r="E32" i="62"/>
  <c r="E32" i="60"/>
  <c r="E33" i="59"/>
  <c r="N24" i="59"/>
  <c r="E33" i="58"/>
  <c r="E33" i="56"/>
  <c r="E32" i="55"/>
  <c r="E33" i="54"/>
  <c r="E33" i="53"/>
  <c r="E32" i="52"/>
  <c r="E32" i="51"/>
  <c r="E32" i="50"/>
  <c r="E32" i="49"/>
  <c r="E32" i="48"/>
  <c r="E32" i="47"/>
  <c r="E32" i="46"/>
  <c r="E33" i="45"/>
  <c r="E33" i="44"/>
  <c r="E32" i="43"/>
  <c r="E33" i="41"/>
  <c r="E33" i="39"/>
  <c r="E32" i="37"/>
  <c r="E40" i="16"/>
  <c r="E30" i="14"/>
  <c r="E32" i="34"/>
  <c r="E33" i="32"/>
  <c r="E33" i="31"/>
  <c r="E32" i="30"/>
  <c r="E32" i="29"/>
  <c r="E32" i="28"/>
  <c r="E32" i="27"/>
  <c r="E32" i="25"/>
  <c r="E32" i="23"/>
  <c r="E32" i="22"/>
  <c r="E32" i="21"/>
  <c r="E32" i="18"/>
  <c r="E33" i="17"/>
  <c r="E32" i="13"/>
  <c r="E33" i="12"/>
  <c r="G28" i="11"/>
  <c r="F28" i="11"/>
  <c r="E33" i="11"/>
  <c r="E32" i="10"/>
  <c r="E33" i="9"/>
  <c r="E34" i="8"/>
  <c r="E33" i="7"/>
  <c r="E34" i="7" s="1"/>
  <c r="H26" i="7"/>
  <c r="E33" i="6"/>
  <c r="E33" i="4"/>
  <c r="G28" i="3"/>
  <c r="F28" i="3"/>
  <c r="E32" i="3"/>
  <c r="E33" i="2"/>
  <c r="G27" i="1"/>
  <c r="F27" i="1"/>
  <c r="E32" i="1"/>
  <c r="G38" i="66"/>
  <c r="E38" i="66"/>
  <c r="N23" i="66"/>
  <c r="E38" i="78"/>
  <c r="N23" i="78"/>
  <c r="G38" i="64"/>
  <c r="E38" i="64"/>
  <c r="N23" i="64"/>
  <c r="G38" i="63"/>
  <c r="E38" i="63"/>
  <c r="N23" i="63"/>
  <c r="G38" i="76"/>
  <c r="E38" i="76"/>
  <c r="N23" i="76"/>
  <c r="G38" i="75"/>
  <c r="E38" i="75"/>
  <c r="N23" i="75"/>
  <c r="G38" i="62"/>
  <c r="E38" i="62"/>
  <c r="N23" i="62"/>
  <c r="G38" i="60"/>
  <c r="E38" i="60"/>
  <c r="N23" i="60"/>
  <c r="E39" i="59" l="1"/>
  <c r="G39" i="58"/>
  <c r="E39" i="58"/>
  <c r="N24" i="58"/>
  <c r="G39" i="56"/>
  <c r="E39" i="56"/>
  <c r="N24" i="56"/>
  <c r="G38" i="55"/>
  <c r="E38" i="55"/>
  <c r="N23" i="55"/>
  <c r="G39" i="54"/>
  <c r="E39" i="54"/>
  <c r="N24" i="54"/>
  <c r="G39" i="53"/>
  <c r="E39" i="53"/>
  <c r="N24" i="53"/>
  <c r="G38" i="52"/>
  <c r="E38" i="52"/>
  <c r="N23" i="52"/>
  <c r="G38" i="51"/>
  <c r="E38" i="51"/>
  <c r="N23" i="51"/>
  <c r="G38" i="50"/>
  <c r="E38" i="50"/>
  <c r="N23" i="50"/>
  <c r="G42" i="57"/>
  <c r="E42" i="57"/>
  <c r="N27" i="57"/>
  <c r="G38" i="49"/>
  <c r="E38" i="49"/>
  <c r="N23" i="49"/>
  <c r="G38" i="48"/>
  <c r="E38" i="48"/>
  <c r="N23" i="48"/>
  <c r="G38" i="47"/>
  <c r="E38" i="47"/>
  <c r="N23" i="47"/>
  <c r="G38" i="46"/>
  <c r="E38" i="46"/>
  <c r="N23" i="46"/>
  <c r="E39" i="45"/>
  <c r="N24" i="45"/>
  <c r="G39" i="44"/>
  <c r="E39" i="44"/>
  <c r="G38" i="43"/>
  <c r="E38" i="43"/>
  <c r="N23" i="43"/>
  <c r="G39" i="41"/>
  <c r="E39" i="41"/>
  <c r="N24" i="41"/>
  <c r="N24" i="39"/>
  <c r="N23" i="37"/>
  <c r="G39" i="36"/>
  <c r="E39" i="36"/>
  <c r="N24" i="36"/>
  <c r="G39" i="35"/>
  <c r="E39" i="35"/>
  <c r="N24" i="35"/>
  <c r="N23" i="34"/>
  <c r="G39" i="33"/>
  <c r="E39" i="33"/>
  <c r="N23" i="33"/>
  <c r="G39" i="32"/>
  <c r="E39" i="32"/>
  <c r="N24" i="32"/>
  <c r="G39" i="31"/>
  <c r="E39" i="31"/>
  <c r="N23" i="31"/>
  <c r="G38" i="30" l="1"/>
  <c r="E38" i="30"/>
  <c r="N23" i="30"/>
  <c r="G38" i="29"/>
  <c r="E38" i="29"/>
  <c r="N23" i="29"/>
  <c r="G38" i="28"/>
  <c r="E38" i="28"/>
  <c r="N23" i="28"/>
  <c r="G38" i="27"/>
  <c r="E38" i="27"/>
  <c r="N23" i="27"/>
  <c r="G38" i="25"/>
  <c r="E38" i="25"/>
  <c r="N23" i="25"/>
  <c r="G38" i="23" l="1"/>
  <c r="E38" i="23"/>
  <c r="N23" i="23"/>
  <c r="G38" i="22"/>
  <c r="E38" i="22"/>
  <c r="N23" i="22"/>
  <c r="G38" i="21"/>
  <c r="E38" i="21"/>
  <c r="N23" i="21"/>
  <c r="N27" i="20"/>
  <c r="N27" i="19"/>
  <c r="G38" i="18" l="1"/>
  <c r="E38" i="18"/>
  <c r="N23" i="18"/>
  <c r="G39" i="17"/>
  <c r="E39" i="17"/>
  <c r="N24" i="17"/>
  <c r="G39" i="16"/>
  <c r="E39" i="16"/>
  <c r="N24" i="16"/>
  <c r="G38" i="15"/>
  <c r="E38" i="15"/>
  <c r="N23" i="15"/>
  <c r="G39" i="14"/>
  <c r="E39" i="14"/>
  <c r="N24" i="14"/>
  <c r="G38" i="13"/>
  <c r="E38" i="13"/>
  <c r="N23" i="13"/>
  <c r="G39" i="12"/>
  <c r="E39" i="12"/>
  <c r="N24" i="12"/>
  <c r="G39" i="11"/>
  <c r="E39" i="11"/>
  <c r="N24" i="11"/>
  <c r="E38" i="10"/>
  <c r="N23" i="10"/>
  <c r="G38" i="10"/>
  <c r="G39" i="9"/>
  <c r="E39" i="9"/>
  <c r="N24" i="9"/>
  <c r="E41" i="9"/>
  <c r="G40" i="8"/>
  <c r="E40" i="8"/>
  <c r="N24" i="8"/>
  <c r="G39" i="7"/>
  <c r="E39" i="7"/>
  <c r="N23" i="7"/>
  <c r="G39" i="6" l="1"/>
  <c r="E39" i="6"/>
  <c r="N24" i="6"/>
  <c r="G39" i="5"/>
  <c r="E39" i="5"/>
  <c r="N24" i="5"/>
  <c r="G39" i="4"/>
  <c r="E39" i="4"/>
  <c r="N24" i="4"/>
  <c r="G38" i="3"/>
  <c r="E38" i="3"/>
  <c r="O23" i="3"/>
  <c r="G39" i="2"/>
  <c r="E39" i="2"/>
  <c r="N24" i="2"/>
  <c r="G38" i="1"/>
  <c r="E38" i="1"/>
  <c r="N23" i="1"/>
  <c r="H27" i="31" l="1"/>
  <c r="E41" i="32"/>
  <c r="E41" i="45"/>
  <c r="G39" i="60" l="1"/>
  <c r="G37" i="60"/>
  <c r="E41" i="56"/>
  <c r="E40" i="55"/>
  <c r="E41" i="54"/>
  <c r="E41" i="53"/>
  <c r="E41" i="59"/>
  <c r="E19" i="55"/>
  <c r="E41" i="17"/>
  <c r="E41" i="16"/>
  <c r="C38" i="60" l="1"/>
  <c r="E41" i="14"/>
  <c r="E41" i="12"/>
  <c r="E41" i="11"/>
  <c r="E42" i="8"/>
  <c r="E41" i="6"/>
  <c r="E41" i="5"/>
  <c r="E41" i="4"/>
  <c r="E41" i="2"/>
  <c r="E40" i="1"/>
  <c r="H31" i="20" l="1"/>
  <c r="E45" i="19"/>
  <c r="G39" i="22" l="1"/>
  <c r="G40" i="39"/>
  <c r="G38" i="39"/>
  <c r="G39" i="59"/>
  <c r="E41" i="58"/>
  <c r="G39" i="48"/>
  <c r="E41" i="41"/>
  <c r="G44" i="19"/>
  <c r="H27" i="33" l="1"/>
  <c r="H28" i="8" l="1"/>
  <c r="G40" i="32"/>
  <c r="G37" i="18" l="1"/>
  <c r="G39" i="21"/>
  <c r="G40" i="58" l="1"/>
  <c r="G38" i="58"/>
  <c r="G44" i="57"/>
  <c r="E44" i="57"/>
  <c r="G43" i="57"/>
  <c r="G41" i="57"/>
  <c r="E37" i="57"/>
  <c r="H35" i="57"/>
  <c r="G23" i="57"/>
  <c r="E23" i="57"/>
  <c r="G45" i="20"/>
  <c r="E45" i="20"/>
  <c r="C45" i="20" s="1"/>
  <c r="G44" i="20"/>
  <c r="E38" i="20"/>
  <c r="G23" i="20"/>
  <c r="E23" i="20"/>
  <c r="C45" i="19"/>
  <c r="E38" i="19"/>
  <c r="G23" i="19"/>
  <c r="E23" i="19"/>
  <c r="M28" i="57" l="1"/>
  <c r="N28" i="57"/>
  <c r="N28" i="19"/>
  <c r="G36" i="19" s="1"/>
  <c r="M28" i="19"/>
  <c r="M29" i="19" s="1"/>
  <c r="N28" i="20"/>
  <c r="M28" i="20"/>
  <c r="M29" i="20" s="1"/>
  <c r="M32" i="20" s="1"/>
  <c r="F36" i="20" s="1"/>
  <c r="C23" i="57"/>
  <c r="N29" i="20"/>
  <c r="E43" i="20" s="1"/>
  <c r="C23" i="20"/>
  <c r="N29" i="19"/>
  <c r="E43" i="19" s="1"/>
  <c r="F36" i="57"/>
  <c r="G45" i="57"/>
  <c r="C44" i="57"/>
  <c r="G32" i="57"/>
  <c r="G35" i="20"/>
  <c r="C23" i="19"/>
  <c r="G29" i="57"/>
  <c r="G31" i="57"/>
  <c r="G33" i="57"/>
  <c r="G34" i="57"/>
  <c r="G36" i="57"/>
  <c r="G28" i="57"/>
  <c r="F29" i="57"/>
  <c r="G30" i="57"/>
  <c r="F34" i="57"/>
  <c r="C42" i="57"/>
  <c r="G28" i="20"/>
  <c r="G30" i="20"/>
  <c r="G33" i="20"/>
  <c r="G37" i="20"/>
  <c r="G29" i="20"/>
  <c r="G32" i="20"/>
  <c r="G34" i="20"/>
  <c r="G29" i="19"/>
  <c r="G31" i="19"/>
  <c r="G33" i="19"/>
  <c r="G34" i="19"/>
  <c r="G28" i="19"/>
  <c r="G30" i="19"/>
  <c r="G32" i="19"/>
  <c r="H34" i="57" l="1"/>
  <c r="G37" i="19"/>
  <c r="N31" i="19"/>
  <c r="G43" i="19" s="1"/>
  <c r="G46" i="19" s="1"/>
  <c r="H29" i="57"/>
  <c r="E43" i="57"/>
  <c r="E44" i="20"/>
  <c r="N32" i="20"/>
  <c r="E44" i="19"/>
  <c r="E46" i="19" s="1"/>
  <c r="E46" i="20"/>
  <c r="F33" i="57"/>
  <c r="M31" i="19"/>
  <c r="F35" i="19" s="1"/>
  <c r="F31" i="19"/>
  <c r="H31" i="19" s="1"/>
  <c r="F31" i="57"/>
  <c r="H31" i="57" s="1"/>
  <c r="H36" i="57"/>
  <c r="F32" i="57"/>
  <c r="H32" i="57" s="1"/>
  <c r="F30" i="57"/>
  <c r="F28" i="57"/>
  <c r="H33" i="57"/>
  <c r="G42" i="20"/>
  <c r="G38" i="19"/>
  <c r="G37" i="57"/>
  <c r="G38" i="20"/>
  <c r="H36" i="20"/>
  <c r="F37" i="20"/>
  <c r="H37" i="20" s="1"/>
  <c r="F33" i="20"/>
  <c r="H33" i="20" s="1"/>
  <c r="F30" i="20"/>
  <c r="H30" i="20" s="1"/>
  <c r="F28" i="20"/>
  <c r="F35" i="20"/>
  <c r="H35" i="20" s="1"/>
  <c r="F34" i="20"/>
  <c r="H34" i="20" s="1"/>
  <c r="F32" i="20"/>
  <c r="H32" i="20" s="1"/>
  <c r="F29" i="20"/>
  <c r="H29" i="20" s="1"/>
  <c r="F34" i="19"/>
  <c r="H34" i="19" s="1"/>
  <c r="F33" i="19"/>
  <c r="H33" i="19" s="1"/>
  <c r="F29" i="19"/>
  <c r="F37" i="19"/>
  <c r="H37" i="19" s="1"/>
  <c r="F36" i="19"/>
  <c r="F30" i="19"/>
  <c r="H30" i="19" s="1"/>
  <c r="F28" i="19"/>
  <c r="G43" i="20" l="1"/>
  <c r="G46" i="20" s="1"/>
  <c r="C46" i="20" s="1"/>
  <c r="E41" i="57"/>
  <c r="F37" i="57"/>
  <c r="E42" i="20"/>
  <c r="H35" i="19"/>
  <c r="G42" i="19"/>
  <c r="F32" i="19"/>
  <c r="H32" i="19" s="1"/>
  <c r="C44" i="19"/>
  <c r="H30" i="57"/>
  <c r="C41" i="57"/>
  <c r="H28" i="57"/>
  <c r="C43" i="20"/>
  <c r="C42" i="20"/>
  <c r="C44" i="20"/>
  <c r="C43" i="19"/>
  <c r="C43" i="57"/>
  <c r="E45" i="57"/>
  <c r="C45" i="57" s="1"/>
  <c r="F38" i="20"/>
  <c r="H28" i="20"/>
  <c r="H38" i="20" s="1"/>
  <c r="H36" i="19"/>
  <c r="H29" i="19"/>
  <c r="H28" i="19"/>
  <c r="C46" i="19"/>
  <c r="E42" i="19" l="1"/>
  <c r="C42" i="19" s="1"/>
  <c r="H37" i="57"/>
  <c r="F38" i="19"/>
  <c r="H38" i="19"/>
  <c r="G39" i="45" l="1"/>
  <c r="E41" i="44"/>
  <c r="E41" i="39"/>
  <c r="E41" i="35"/>
  <c r="E41" i="36"/>
  <c r="E20" i="9"/>
  <c r="E20" i="11"/>
  <c r="G39" i="66" l="1"/>
  <c r="G37" i="66"/>
  <c r="G19" i="66"/>
  <c r="E19" i="66"/>
  <c r="G39" i="78"/>
  <c r="G38" i="78"/>
  <c r="G37" i="78"/>
  <c r="G19" i="78"/>
  <c r="E19" i="78"/>
  <c r="G39" i="64"/>
  <c r="G37" i="64"/>
  <c r="G19" i="64"/>
  <c r="E19" i="64"/>
  <c r="G39" i="63"/>
  <c r="G37" i="63"/>
  <c r="G19" i="63"/>
  <c r="E19" i="63"/>
  <c r="G39" i="76"/>
  <c r="G37" i="76"/>
  <c r="G19" i="76"/>
  <c r="E19" i="76"/>
  <c r="G39" i="75"/>
  <c r="G37" i="75"/>
  <c r="G19" i="75"/>
  <c r="E19" i="75"/>
  <c r="G39" i="62"/>
  <c r="G37" i="62"/>
  <c r="G19" i="62"/>
  <c r="E19" i="62"/>
  <c r="G19" i="60"/>
  <c r="E19" i="60"/>
  <c r="G41" i="59"/>
  <c r="G40" i="59"/>
  <c r="G38" i="59"/>
  <c r="G20" i="59"/>
  <c r="E20" i="59"/>
  <c r="G41" i="58"/>
  <c r="C39" i="58"/>
  <c r="G20" i="58"/>
  <c r="E20" i="58"/>
  <c r="G41" i="56"/>
  <c r="C41" i="56" s="1"/>
  <c r="G40" i="56"/>
  <c r="G38" i="56"/>
  <c r="G20" i="56"/>
  <c r="E20" i="56"/>
  <c r="G40" i="55"/>
  <c r="G39" i="55"/>
  <c r="G41" i="55" s="1"/>
  <c r="G37" i="55"/>
  <c r="G19" i="55"/>
  <c r="G41" i="54"/>
  <c r="C41" i="54" s="1"/>
  <c r="G40" i="54"/>
  <c r="C39" i="54"/>
  <c r="G38" i="54"/>
  <c r="G20" i="54"/>
  <c r="E20" i="54"/>
  <c r="G41" i="53"/>
  <c r="G40" i="53"/>
  <c r="G38" i="53"/>
  <c r="C19" i="55" l="1"/>
  <c r="C19" i="66"/>
  <c r="C19" i="78"/>
  <c r="C19" i="75"/>
  <c r="C38" i="75"/>
  <c r="C19" i="62"/>
  <c r="C20" i="59"/>
  <c r="G42" i="59"/>
  <c r="C41" i="58"/>
  <c r="C20" i="58"/>
  <c r="C40" i="55"/>
  <c r="C38" i="55"/>
  <c r="C20" i="54"/>
  <c r="C39" i="59"/>
  <c r="C19" i="64"/>
  <c r="C39" i="53"/>
  <c r="C41" i="59"/>
  <c r="C38" i="62"/>
  <c r="C19" i="63"/>
  <c r="C38" i="64"/>
  <c r="C38" i="66"/>
  <c r="G40" i="63"/>
  <c r="C38" i="63"/>
  <c r="G42" i="56"/>
  <c r="C39" i="56"/>
  <c r="C19" i="76"/>
  <c r="C41" i="53"/>
  <c r="G42" i="54"/>
  <c r="C20" i="56"/>
  <c r="G42" i="58"/>
  <c r="C38" i="76"/>
  <c r="C38" i="78"/>
  <c r="C19" i="60"/>
  <c r="G42" i="53"/>
  <c r="G40" i="66"/>
  <c r="G40" i="78"/>
  <c r="G40" i="64"/>
  <c r="G40" i="76"/>
  <c r="G40" i="75"/>
  <c r="G40" i="62"/>
  <c r="G40" i="60"/>
  <c r="G20" i="53" l="1"/>
  <c r="E20" i="53"/>
  <c r="G39" i="52"/>
  <c r="G40" i="52" s="1"/>
  <c r="G37" i="52"/>
  <c r="G19" i="52"/>
  <c r="E19" i="52"/>
  <c r="G39" i="51"/>
  <c r="G37" i="51"/>
  <c r="G19" i="51"/>
  <c r="E19" i="51"/>
  <c r="G39" i="50"/>
  <c r="C38" i="50"/>
  <c r="G37" i="50"/>
  <c r="G19" i="50"/>
  <c r="E19" i="50"/>
  <c r="G39" i="49"/>
  <c r="C38" i="49"/>
  <c r="G37" i="49"/>
  <c r="G19" i="49"/>
  <c r="E19" i="49"/>
  <c r="G37" i="48"/>
  <c r="G19" i="48"/>
  <c r="E19" i="48"/>
  <c r="G39" i="47"/>
  <c r="G37" i="47"/>
  <c r="G19" i="47"/>
  <c r="E19" i="47"/>
  <c r="G39" i="46"/>
  <c r="C38" i="46"/>
  <c r="G37" i="46"/>
  <c r="G19" i="46"/>
  <c r="E19" i="46"/>
  <c r="G41" i="45"/>
  <c r="G40" i="45"/>
  <c r="G38" i="45"/>
  <c r="G20" i="45"/>
  <c r="E20" i="45"/>
  <c r="G41" i="44"/>
  <c r="G40" i="44"/>
  <c r="G38" i="44"/>
  <c r="G20" i="44"/>
  <c r="E20" i="44"/>
  <c r="C38" i="43"/>
  <c r="G37" i="43"/>
  <c r="G19" i="43"/>
  <c r="E19" i="43"/>
  <c r="G41" i="41"/>
  <c r="G38" i="41"/>
  <c r="G20" i="41"/>
  <c r="E20" i="41"/>
  <c r="C19" i="49" l="1"/>
  <c r="C19" i="52"/>
  <c r="C38" i="52"/>
  <c r="C19" i="50"/>
  <c r="C41" i="45"/>
  <c r="C20" i="45"/>
  <c r="C39" i="45"/>
  <c r="C41" i="44"/>
  <c r="C41" i="41"/>
  <c r="C20" i="44"/>
  <c r="C19" i="51"/>
  <c r="C19" i="43"/>
  <c r="C39" i="44"/>
  <c r="C19" i="46"/>
  <c r="C19" i="48"/>
  <c r="C20" i="41"/>
  <c r="G42" i="44"/>
  <c r="C19" i="47"/>
  <c r="C38" i="51"/>
  <c r="G42" i="45"/>
  <c r="C38" i="47"/>
  <c r="G40" i="49"/>
  <c r="C20" i="53"/>
  <c r="C38" i="48"/>
  <c r="G40" i="51"/>
  <c r="G40" i="50"/>
  <c r="G40" i="48"/>
  <c r="G40" i="47"/>
  <c r="G40" i="46"/>
  <c r="C39" i="41"/>
  <c r="G41" i="39" l="1"/>
  <c r="G20" i="39"/>
  <c r="E20" i="39"/>
  <c r="G39" i="37"/>
  <c r="G19" i="37"/>
  <c r="E19" i="37"/>
  <c r="G41" i="36"/>
  <c r="G40" i="36"/>
  <c r="G38" i="36"/>
  <c r="G20" i="36"/>
  <c r="E20" i="36"/>
  <c r="G41" i="35"/>
  <c r="G40" i="35"/>
  <c r="G38" i="35"/>
  <c r="G20" i="35"/>
  <c r="E20" i="35"/>
  <c r="G39" i="34"/>
  <c r="G19" i="34"/>
  <c r="E19" i="34"/>
  <c r="G40" i="33"/>
  <c r="G38" i="33"/>
  <c r="G19" i="33"/>
  <c r="E19" i="33"/>
  <c r="C41" i="39" l="1"/>
  <c r="C41" i="35"/>
  <c r="C19" i="37"/>
  <c r="C20" i="36"/>
  <c r="C20" i="35"/>
  <c r="C39" i="35"/>
  <c r="C39" i="33"/>
  <c r="C20" i="39"/>
  <c r="C19" i="34"/>
  <c r="C19" i="33"/>
  <c r="G42" i="35"/>
  <c r="C41" i="36"/>
  <c r="G42" i="36"/>
  <c r="C39" i="36"/>
  <c r="G41" i="33"/>
  <c r="G41" i="32"/>
  <c r="C41" i="32" s="1"/>
  <c r="G38" i="32"/>
  <c r="G20" i="32"/>
  <c r="E20" i="32"/>
  <c r="G40" i="31"/>
  <c r="G38" i="31"/>
  <c r="G19" i="31"/>
  <c r="E19" i="31"/>
  <c r="G39" i="30"/>
  <c r="G37" i="30"/>
  <c r="G19" i="30"/>
  <c r="E19" i="30"/>
  <c r="G39" i="29"/>
  <c r="G37" i="29"/>
  <c r="G19" i="29"/>
  <c r="E19" i="29"/>
  <c r="G39" i="28"/>
  <c r="G37" i="28"/>
  <c r="G19" i="28"/>
  <c r="E19" i="28"/>
  <c r="G39" i="27"/>
  <c r="G19" i="27"/>
  <c r="E19" i="27"/>
  <c r="G39" i="25"/>
  <c r="G37" i="25"/>
  <c r="G19" i="25"/>
  <c r="E19" i="25"/>
  <c r="G39" i="23"/>
  <c r="G37" i="23"/>
  <c r="G19" i="23"/>
  <c r="E19" i="23"/>
  <c r="G37" i="22"/>
  <c r="G19" i="22"/>
  <c r="E19" i="22"/>
  <c r="C38" i="21"/>
  <c r="C19" i="31" l="1"/>
  <c r="C19" i="30"/>
  <c r="C38" i="30"/>
  <c r="C19" i="28"/>
  <c r="C19" i="27"/>
  <c r="C38" i="27"/>
  <c r="C19" i="25"/>
  <c r="C19" i="23"/>
  <c r="C39" i="31"/>
  <c r="C38" i="23"/>
  <c r="C38" i="28"/>
  <c r="C20" i="32"/>
  <c r="C38" i="22"/>
  <c r="C38" i="25"/>
  <c r="C19" i="29"/>
  <c r="G40" i="30"/>
  <c r="G42" i="32"/>
  <c r="C38" i="29"/>
  <c r="C19" i="22"/>
  <c r="C39" i="32"/>
  <c r="G41" i="31"/>
  <c r="G40" i="29"/>
  <c r="G40" i="28"/>
  <c r="G40" i="27"/>
  <c r="G40" i="25"/>
  <c r="G40" i="23"/>
  <c r="G40" i="22"/>
  <c r="G40" i="21"/>
  <c r="G19" i="21"/>
  <c r="E19" i="21"/>
  <c r="G39" i="18"/>
  <c r="G19" i="18"/>
  <c r="E19" i="18"/>
  <c r="G41" i="17"/>
  <c r="G40" i="17"/>
  <c r="G20" i="17"/>
  <c r="E20" i="17"/>
  <c r="G41" i="16"/>
  <c r="G40" i="16"/>
  <c r="G38" i="16"/>
  <c r="G20" i="16"/>
  <c r="E20" i="16"/>
  <c r="G39" i="15"/>
  <c r="C38" i="15"/>
  <c r="G37" i="15"/>
  <c r="G19" i="15"/>
  <c r="E19" i="15"/>
  <c r="G41" i="14"/>
  <c r="C41" i="14" s="1"/>
  <c r="G40" i="14"/>
  <c r="G38" i="14"/>
  <c r="G20" i="14"/>
  <c r="E20" i="14"/>
  <c r="G39" i="13"/>
  <c r="C38" i="13"/>
  <c r="G37" i="13"/>
  <c r="G19" i="13"/>
  <c r="E19" i="13"/>
  <c r="G41" i="12"/>
  <c r="G40" i="12"/>
  <c r="C39" i="12"/>
  <c r="G38" i="12"/>
  <c r="G20" i="12"/>
  <c r="E20" i="12"/>
  <c r="G41" i="11"/>
  <c r="G40" i="11"/>
  <c r="G38" i="11"/>
  <c r="G20" i="11"/>
  <c r="G39" i="10"/>
  <c r="G37" i="10"/>
  <c r="G19" i="10"/>
  <c r="E19" i="10"/>
  <c r="G41" i="9"/>
  <c r="G40" i="9"/>
  <c r="C39" i="9"/>
  <c r="G38" i="9"/>
  <c r="G20" i="9"/>
  <c r="G42" i="8"/>
  <c r="G41" i="8"/>
  <c r="G39" i="8"/>
  <c r="G20" i="8"/>
  <c r="E20" i="8"/>
  <c r="G40" i="7"/>
  <c r="G38" i="7"/>
  <c r="E19" i="7"/>
  <c r="G19" i="7"/>
  <c r="G41" i="6"/>
  <c r="G40" i="6"/>
  <c r="G38" i="6"/>
  <c r="G20" i="6"/>
  <c r="E20" i="6"/>
  <c r="G41" i="5"/>
  <c r="G40" i="5"/>
  <c r="G38" i="5"/>
  <c r="G20" i="5"/>
  <c r="E20" i="5"/>
  <c r="G41" i="4"/>
  <c r="G40" i="4"/>
  <c r="G38" i="4"/>
  <c r="G20" i="4"/>
  <c r="E20" i="4"/>
  <c r="E19" i="3"/>
  <c r="G39" i="3"/>
  <c r="G19" i="3"/>
  <c r="C19" i="10" l="1"/>
  <c r="C20" i="17"/>
  <c r="C41" i="9"/>
  <c r="C20" i="8"/>
  <c r="C41" i="6"/>
  <c r="C41" i="5"/>
  <c r="C41" i="4"/>
  <c r="C38" i="18"/>
  <c r="G42" i="17"/>
  <c r="C20" i="14"/>
  <c r="C39" i="14"/>
  <c r="C20" i="12"/>
  <c r="C38" i="10"/>
  <c r="C42" i="8"/>
  <c r="C20" i="11"/>
  <c r="C19" i="18"/>
  <c r="C19" i="21"/>
  <c r="C20" i="4"/>
  <c r="C20" i="5"/>
  <c r="C20" i="6"/>
  <c r="G42" i="9"/>
  <c r="C39" i="11"/>
  <c r="C19" i="15"/>
  <c r="C41" i="12"/>
  <c r="C39" i="5"/>
  <c r="C39" i="6"/>
  <c r="G41" i="7"/>
  <c r="C20" i="9"/>
  <c r="C41" i="11"/>
  <c r="C41" i="17"/>
  <c r="C20" i="16"/>
  <c r="C41" i="16"/>
  <c r="G42" i="16"/>
  <c r="G42" i="11"/>
  <c r="G43" i="8"/>
  <c r="C39" i="7"/>
  <c r="C19" i="7"/>
  <c r="G42" i="6"/>
  <c r="G42" i="4"/>
  <c r="G40" i="18"/>
  <c r="C39" i="17"/>
  <c r="C39" i="16"/>
  <c r="G40" i="15"/>
  <c r="G42" i="14"/>
  <c r="G40" i="13"/>
  <c r="C19" i="13"/>
  <c r="G42" i="12"/>
  <c r="G40" i="10"/>
  <c r="C40" i="8"/>
  <c r="G42" i="5"/>
  <c r="C39" i="4"/>
  <c r="G40" i="3"/>
  <c r="C19" i="3"/>
  <c r="C38" i="3"/>
  <c r="G38" i="2"/>
  <c r="G41" i="2"/>
  <c r="C41" i="2" s="1"/>
  <c r="G40" i="2"/>
  <c r="G42" i="2" s="1"/>
  <c r="C39" i="2"/>
  <c r="G20" i="2"/>
  <c r="E20" i="2"/>
  <c r="G19" i="1"/>
  <c r="E19" i="1"/>
  <c r="G40" i="1"/>
  <c r="C40" i="1" s="1"/>
  <c r="H31" i="1"/>
  <c r="G39" i="1"/>
  <c r="G37" i="1"/>
  <c r="G41" i="1" l="1"/>
  <c r="C20" i="2"/>
  <c r="C19" i="1"/>
  <c r="G37" i="27"/>
  <c r="G37" i="37"/>
  <c r="G37" i="34" l="1"/>
  <c r="G38" i="17"/>
  <c r="H31" i="66" l="1"/>
  <c r="H31" i="78"/>
  <c r="H31" i="64"/>
  <c r="H31" i="63"/>
  <c r="H31" i="76"/>
  <c r="H31" i="75"/>
  <c r="H31" i="62"/>
  <c r="H31" i="60"/>
  <c r="H32" i="59"/>
  <c r="H32" i="58"/>
  <c r="H32" i="56"/>
  <c r="H31" i="55"/>
  <c r="H32" i="54" l="1"/>
  <c r="H32" i="53"/>
  <c r="H31" i="52"/>
  <c r="H31" i="51"/>
  <c r="H31" i="50"/>
  <c r="H31" i="49"/>
  <c r="H31" i="48"/>
  <c r="H31" i="47"/>
  <c r="H31" i="46" l="1"/>
  <c r="H32" i="45"/>
  <c r="H32" i="44"/>
  <c r="H32" i="39"/>
  <c r="H31" i="37"/>
  <c r="H32" i="41" l="1"/>
  <c r="G40" i="41"/>
  <c r="G42" i="41" s="1"/>
  <c r="H32" i="36"/>
  <c r="H32" i="35"/>
  <c r="H31" i="34"/>
  <c r="H32" i="33"/>
  <c r="H32" i="32" l="1"/>
  <c r="H32" i="31"/>
  <c r="H31" i="30"/>
  <c r="H31" i="29"/>
  <c r="H31" i="28"/>
  <c r="H31" i="27"/>
  <c r="H31" i="25"/>
  <c r="H31" i="23"/>
  <c r="H31" i="22"/>
  <c r="H31" i="21"/>
  <c r="H31" i="18" l="1"/>
  <c r="H32" i="17"/>
  <c r="H32" i="16"/>
  <c r="H31" i="15"/>
  <c r="H32" i="14"/>
  <c r="H31" i="13"/>
  <c r="H32" i="12"/>
  <c r="H32" i="11"/>
  <c r="H31" i="10" l="1"/>
  <c r="H32" i="9"/>
  <c r="H33" i="8"/>
  <c r="H32" i="7"/>
  <c r="H32" i="6"/>
  <c r="H32" i="5"/>
  <c r="H32" i="4" l="1"/>
  <c r="H32" i="2"/>
  <c r="E33" i="78" l="1"/>
  <c r="M24" i="78" l="1"/>
  <c r="N24" i="78"/>
  <c r="H31" i="3"/>
  <c r="G37" i="3"/>
  <c r="F30" i="78" l="1"/>
  <c r="F28" i="78"/>
  <c r="F26" i="78"/>
  <c r="F24" i="78"/>
  <c r="F32" i="78"/>
  <c r="F29" i="78"/>
  <c r="F27" i="78"/>
  <c r="F25" i="78"/>
  <c r="G30" i="78"/>
  <c r="G28" i="78"/>
  <c r="G26" i="78"/>
  <c r="G24" i="78"/>
  <c r="G32" i="78"/>
  <c r="G29" i="78"/>
  <c r="G27" i="78"/>
  <c r="G25" i="78"/>
  <c r="E39" i="78" l="1"/>
  <c r="C39" i="78" s="1"/>
  <c r="E37" i="78"/>
  <c r="H27" i="78"/>
  <c r="H26" i="78"/>
  <c r="H25" i="78"/>
  <c r="H32" i="78"/>
  <c r="H30" i="78"/>
  <c r="H29" i="78"/>
  <c r="H28" i="78"/>
  <c r="C37" i="78"/>
  <c r="H24" i="78"/>
  <c r="F33" i="78"/>
  <c r="G33" i="78"/>
  <c r="G34" i="78" s="1"/>
  <c r="E33" i="66"/>
  <c r="E33" i="63"/>
  <c r="E33" i="76"/>
  <c r="E33" i="75"/>
  <c r="N24" i="66" l="1"/>
  <c r="M24" i="66"/>
  <c r="M24" i="63"/>
  <c r="N24" i="63"/>
  <c r="M24" i="76"/>
  <c r="N24" i="76"/>
  <c r="M24" i="75"/>
  <c r="N24" i="75"/>
  <c r="H33" i="78"/>
  <c r="E40" i="78"/>
  <c r="C40" i="78" s="1"/>
  <c r="F32" i="66"/>
  <c r="G30" i="63" l="1"/>
  <c r="G28" i="63"/>
  <c r="G26" i="63"/>
  <c r="G24" i="63"/>
  <c r="G32" i="63"/>
  <c r="G29" i="63"/>
  <c r="G25" i="63"/>
  <c r="G29" i="66"/>
  <c r="G30" i="66"/>
  <c r="G28" i="66"/>
  <c r="G26" i="66"/>
  <c r="G24" i="66"/>
  <c r="G32" i="66"/>
  <c r="H32" i="66" s="1"/>
  <c r="G25" i="66"/>
  <c r="F30" i="63"/>
  <c r="F28" i="63"/>
  <c r="F26" i="63"/>
  <c r="F24" i="63"/>
  <c r="F32" i="63"/>
  <c r="F29" i="63"/>
  <c r="F25" i="63"/>
  <c r="H25" i="63" s="1"/>
  <c r="F30" i="66"/>
  <c r="F28" i="66"/>
  <c r="F26" i="66"/>
  <c r="F24" i="66"/>
  <c r="F29" i="66"/>
  <c r="F25" i="66"/>
  <c r="G25" i="76"/>
  <c r="G30" i="76"/>
  <c r="G28" i="76"/>
  <c r="G26" i="76"/>
  <c r="G24" i="76"/>
  <c r="E39" i="76" s="1"/>
  <c r="G32" i="76"/>
  <c r="G29" i="76"/>
  <c r="G27" i="76"/>
  <c r="H27" i="76" s="1"/>
  <c r="G30" i="75"/>
  <c r="G28" i="75"/>
  <c r="G26" i="75"/>
  <c r="G24" i="75"/>
  <c r="G32" i="75"/>
  <c r="G29" i="75"/>
  <c r="G25" i="75"/>
  <c r="F30" i="76"/>
  <c r="H30" i="76" s="1"/>
  <c r="F28" i="76"/>
  <c r="F26" i="76"/>
  <c r="F24" i="76"/>
  <c r="F32" i="76"/>
  <c r="H32" i="76" s="1"/>
  <c r="F29" i="76"/>
  <c r="F27" i="76"/>
  <c r="F25" i="76"/>
  <c r="F30" i="75"/>
  <c r="H30" i="75" s="1"/>
  <c r="F28" i="75"/>
  <c r="F26" i="75"/>
  <c r="F24" i="75"/>
  <c r="F25" i="75"/>
  <c r="F32" i="75"/>
  <c r="H32" i="75" s="1"/>
  <c r="F29" i="75"/>
  <c r="H28" i="75"/>
  <c r="H30" i="63" l="1"/>
  <c r="G33" i="76"/>
  <c r="G34" i="76" s="1"/>
  <c r="H25" i="76"/>
  <c r="H28" i="76"/>
  <c r="E39" i="75"/>
  <c r="H27" i="75"/>
  <c r="H27" i="66"/>
  <c r="E39" i="66"/>
  <c r="C39" i="66" s="1"/>
  <c r="E37" i="66"/>
  <c r="C37" i="66" s="1"/>
  <c r="H25" i="66"/>
  <c r="H28" i="66"/>
  <c r="H30" i="66"/>
  <c r="E39" i="63"/>
  <c r="E40" i="63" s="1"/>
  <c r="C40" i="63" s="1"/>
  <c r="E37" i="63"/>
  <c r="C37" i="63" s="1"/>
  <c r="H28" i="63"/>
  <c r="H32" i="63"/>
  <c r="E37" i="76"/>
  <c r="C37" i="76" s="1"/>
  <c r="E37" i="75"/>
  <c r="C37" i="75" s="1"/>
  <c r="G33" i="63"/>
  <c r="H27" i="63"/>
  <c r="H29" i="75"/>
  <c r="G33" i="66"/>
  <c r="H29" i="66"/>
  <c r="H26" i="66"/>
  <c r="H29" i="63"/>
  <c r="H24" i="63"/>
  <c r="H26" i="63"/>
  <c r="E40" i="76"/>
  <c r="C40" i="76" s="1"/>
  <c r="H29" i="76"/>
  <c r="H26" i="76"/>
  <c r="G33" i="75"/>
  <c r="H26" i="75"/>
  <c r="H24" i="75"/>
  <c r="H25" i="75"/>
  <c r="F33" i="75"/>
  <c r="H24" i="66"/>
  <c r="F33" i="66"/>
  <c r="H24" i="76"/>
  <c r="F33" i="76"/>
  <c r="C39" i="75"/>
  <c r="E40" i="75"/>
  <c r="C40" i="75" s="1"/>
  <c r="F33" i="63"/>
  <c r="E33" i="60"/>
  <c r="E40" i="66" l="1"/>
  <c r="C40" i="66" s="1"/>
  <c r="N24" i="60"/>
  <c r="M24" i="60"/>
  <c r="C39" i="63"/>
  <c r="H33" i="63"/>
  <c r="C39" i="76"/>
  <c r="H33" i="75"/>
  <c r="H33" i="66"/>
  <c r="H33" i="76"/>
  <c r="E34" i="59"/>
  <c r="N25" i="59" l="1"/>
  <c r="M25" i="59"/>
  <c r="G29" i="60"/>
  <c r="G25" i="60"/>
  <c r="G30" i="60"/>
  <c r="G28" i="60"/>
  <c r="G26" i="60"/>
  <c r="G24" i="60"/>
  <c r="G32" i="60"/>
  <c r="G27" i="60"/>
  <c r="F30" i="60"/>
  <c r="F28" i="60"/>
  <c r="F26" i="60"/>
  <c r="F24" i="60"/>
  <c r="F32" i="60"/>
  <c r="F29" i="60"/>
  <c r="F27" i="60"/>
  <c r="F25" i="60"/>
  <c r="H25" i="60" l="1"/>
  <c r="E39" i="60"/>
  <c r="C39" i="60" s="1"/>
  <c r="E37" i="60"/>
  <c r="C37" i="60" s="1"/>
  <c r="G33" i="60"/>
  <c r="H28" i="60"/>
  <c r="H32" i="60"/>
  <c r="H26" i="60"/>
  <c r="H27" i="60"/>
  <c r="H29" i="60"/>
  <c r="F31" i="59"/>
  <c r="F29" i="59"/>
  <c r="F27" i="59"/>
  <c r="F25" i="59"/>
  <c r="F33" i="59"/>
  <c r="F30" i="59"/>
  <c r="F26" i="59"/>
  <c r="G31" i="59"/>
  <c r="G29" i="59"/>
  <c r="H29" i="59" s="1"/>
  <c r="G27" i="59"/>
  <c r="G25" i="59"/>
  <c r="G33" i="59"/>
  <c r="G30" i="59"/>
  <c r="G26" i="59"/>
  <c r="F33" i="60"/>
  <c r="H24" i="60"/>
  <c r="H30" i="60"/>
  <c r="H31" i="59"/>
  <c r="H27" i="59" l="1"/>
  <c r="E40" i="59"/>
  <c r="C40" i="59" s="1"/>
  <c r="H28" i="59"/>
  <c r="E38" i="59"/>
  <c r="C38" i="59" s="1"/>
  <c r="H30" i="59"/>
  <c r="H25" i="59"/>
  <c r="H33" i="59"/>
  <c r="H26" i="59"/>
  <c r="G34" i="59"/>
  <c r="H33" i="60"/>
  <c r="E40" i="60"/>
  <c r="C40" i="60" s="1"/>
  <c r="F34" i="59"/>
  <c r="H34" i="59" l="1"/>
  <c r="E42" i="59"/>
  <c r="C42" i="59" s="1"/>
  <c r="E34" i="58"/>
  <c r="E34" i="56"/>
  <c r="M25" i="58" l="1"/>
  <c r="N25" i="58"/>
  <c r="N25" i="56"/>
  <c r="M25" i="56"/>
  <c r="E33" i="55"/>
  <c r="E34" i="54"/>
  <c r="E34" i="53"/>
  <c r="E33" i="52"/>
  <c r="E33" i="51"/>
  <c r="E33" i="50"/>
  <c r="N24" i="55" l="1"/>
  <c r="M24" i="55"/>
  <c r="N25" i="54"/>
  <c r="M25" i="54"/>
  <c r="M25" i="53"/>
  <c r="N25" i="53"/>
  <c r="N24" i="52"/>
  <c r="M24" i="52"/>
  <c r="N24" i="51"/>
  <c r="M24" i="51"/>
  <c r="N24" i="50"/>
  <c r="M24" i="50"/>
  <c r="G33" i="58"/>
  <c r="G26" i="58"/>
  <c r="G31" i="58"/>
  <c r="G29" i="58"/>
  <c r="G27" i="58"/>
  <c r="G25" i="58"/>
  <c r="G30" i="58"/>
  <c r="F31" i="58"/>
  <c r="F29" i="58"/>
  <c r="F27" i="58"/>
  <c r="F25" i="58"/>
  <c r="F33" i="58"/>
  <c r="H33" i="58" s="1"/>
  <c r="F30" i="58"/>
  <c r="F26" i="58"/>
  <c r="H26" i="58" s="1"/>
  <c r="G30" i="56"/>
  <c r="G26" i="56"/>
  <c r="G31" i="56"/>
  <c r="G29" i="56"/>
  <c r="G27" i="56"/>
  <c r="G25" i="56"/>
  <c r="G33" i="56"/>
  <c r="F31" i="56"/>
  <c r="F29" i="56"/>
  <c r="F27" i="56"/>
  <c r="F25" i="56"/>
  <c r="F33" i="56"/>
  <c r="F30" i="56"/>
  <c r="F26" i="56"/>
  <c r="E38" i="56" l="1"/>
  <c r="E40" i="58"/>
  <c r="C40" i="58" s="1"/>
  <c r="E38" i="58"/>
  <c r="C38" i="58" s="1"/>
  <c r="E40" i="56"/>
  <c r="E42" i="56" s="1"/>
  <c r="C42" i="56" s="1"/>
  <c r="H33" i="56"/>
  <c r="H31" i="56"/>
  <c r="H31" i="58"/>
  <c r="H30" i="58"/>
  <c r="H30" i="56"/>
  <c r="H25" i="56"/>
  <c r="H25" i="58"/>
  <c r="H26" i="56"/>
  <c r="H29" i="56"/>
  <c r="H28" i="56"/>
  <c r="G34" i="58"/>
  <c r="H27" i="58"/>
  <c r="H27" i="56"/>
  <c r="F30" i="50"/>
  <c r="F28" i="50"/>
  <c r="F26" i="50"/>
  <c r="F24" i="50"/>
  <c r="F29" i="50"/>
  <c r="F32" i="50"/>
  <c r="F27" i="50"/>
  <c r="F25" i="50"/>
  <c r="F30" i="55"/>
  <c r="F28" i="55"/>
  <c r="F26" i="55"/>
  <c r="F24" i="55"/>
  <c r="F32" i="55"/>
  <c r="F25" i="55"/>
  <c r="F29" i="55"/>
  <c r="F30" i="52"/>
  <c r="F28" i="52"/>
  <c r="F26" i="52"/>
  <c r="H26" i="52" s="1"/>
  <c r="F24" i="52"/>
  <c r="F32" i="52"/>
  <c r="F29" i="52"/>
  <c r="F27" i="52"/>
  <c r="F25" i="52"/>
  <c r="G31" i="53"/>
  <c r="G29" i="53"/>
  <c r="G27" i="53"/>
  <c r="G25" i="53"/>
  <c r="G26" i="53"/>
  <c r="G33" i="53"/>
  <c r="G30" i="53"/>
  <c r="G31" i="54"/>
  <c r="G29" i="54"/>
  <c r="G27" i="54"/>
  <c r="G25" i="54"/>
  <c r="G33" i="54"/>
  <c r="G30" i="54"/>
  <c r="G26" i="54"/>
  <c r="G30" i="52"/>
  <c r="G28" i="52"/>
  <c r="G26" i="52"/>
  <c r="G24" i="52"/>
  <c r="G25" i="52"/>
  <c r="G27" i="52"/>
  <c r="G29" i="52"/>
  <c r="G32" i="52"/>
  <c r="G30" i="51"/>
  <c r="G28" i="51"/>
  <c r="G26" i="51"/>
  <c r="G24" i="51"/>
  <c r="G25" i="51"/>
  <c r="G27" i="51"/>
  <c r="G29" i="51"/>
  <c r="G32" i="51"/>
  <c r="F30" i="51"/>
  <c r="H30" i="51" s="1"/>
  <c r="F28" i="51"/>
  <c r="F26" i="51"/>
  <c r="H26" i="51" s="1"/>
  <c r="F24" i="51"/>
  <c r="F32" i="51"/>
  <c r="F29" i="51"/>
  <c r="F27" i="51"/>
  <c r="F25" i="51"/>
  <c r="F31" i="53"/>
  <c r="F29" i="53"/>
  <c r="F27" i="53"/>
  <c r="H27" i="53" s="1"/>
  <c r="F25" i="53"/>
  <c r="F30" i="53"/>
  <c r="F33" i="53"/>
  <c r="H33" i="53" s="1"/>
  <c r="H28" i="53"/>
  <c r="F26" i="53"/>
  <c r="G30" i="50"/>
  <c r="G28" i="50"/>
  <c r="G26" i="50"/>
  <c r="H26" i="50" s="1"/>
  <c r="G24" i="50"/>
  <c r="G25" i="50"/>
  <c r="G27" i="50"/>
  <c r="G29" i="50"/>
  <c r="G32" i="50"/>
  <c r="G29" i="55"/>
  <c r="G25" i="55"/>
  <c r="G30" i="55"/>
  <c r="G28" i="55"/>
  <c r="G26" i="55"/>
  <c r="G24" i="55"/>
  <c r="G32" i="55"/>
  <c r="F31" i="54"/>
  <c r="F29" i="54"/>
  <c r="H29" i="54" s="1"/>
  <c r="F27" i="54"/>
  <c r="F25" i="54"/>
  <c r="F30" i="54"/>
  <c r="F26" i="54"/>
  <c r="F33" i="54"/>
  <c r="G34" i="56"/>
  <c r="H28" i="58"/>
  <c r="H29" i="58"/>
  <c r="F34" i="58"/>
  <c r="C38" i="56"/>
  <c r="F34" i="56"/>
  <c r="E42" i="58"/>
  <c r="C42" i="58" s="1"/>
  <c r="H25" i="55" l="1"/>
  <c r="E38" i="54"/>
  <c r="C38" i="54" s="1"/>
  <c r="H31" i="53"/>
  <c r="H29" i="53"/>
  <c r="E38" i="53"/>
  <c r="C38" i="53" s="1"/>
  <c r="H25" i="51"/>
  <c r="E39" i="51"/>
  <c r="E39" i="50"/>
  <c r="E39" i="55"/>
  <c r="E37" i="55"/>
  <c r="C37" i="55" s="1"/>
  <c r="H30" i="55"/>
  <c r="E40" i="54"/>
  <c r="E42" i="54" s="1"/>
  <c r="C42" i="54" s="1"/>
  <c r="H25" i="54"/>
  <c r="E40" i="53"/>
  <c r="E42" i="53" s="1"/>
  <c r="E39" i="52"/>
  <c r="E37" i="52"/>
  <c r="C37" i="52" s="1"/>
  <c r="H25" i="52"/>
  <c r="E37" i="51"/>
  <c r="E37" i="50"/>
  <c r="C37" i="50" s="1"/>
  <c r="H24" i="50"/>
  <c r="H29" i="55"/>
  <c r="H26" i="54"/>
  <c r="H29" i="51"/>
  <c r="H32" i="51"/>
  <c r="H26" i="53"/>
  <c r="H25" i="50"/>
  <c r="H33" i="54"/>
  <c r="H29" i="52"/>
  <c r="H27" i="51"/>
  <c r="H32" i="50"/>
  <c r="H34" i="56"/>
  <c r="C40" i="56"/>
  <c r="H27" i="55"/>
  <c r="G34" i="53"/>
  <c r="H30" i="53"/>
  <c r="H28" i="52"/>
  <c r="H27" i="52"/>
  <c r="C39" i="52"/>
  <c r="H28" i="51"/>
  <c r="H28" i="50"/>
  <c r="H27" i="50"/>
  <c r="E40" i="50"/>
  <c r="C40" i="50" s="1"/>
  <c r="H28" i="55"/>
  <c r="H27" i="54"/>
  <c r="H24" i="52"/>
  <c r="G33" i="50"/>
  <c r="H30" i="54"/>
  <c r="H31" i="54"/>
  <c r="H26" i="55"/>
  <c r="G33" i="52"/>
  <c r="G34" i="54"/>
  <c r="H28" i="54"/>
  <c r="H32" i="52"/>
  <c r="H30" i="52"/>
  <c r="H32" i="55"/>
  <c r="H29" i="50"/>
  <c r="H30" i="50"/>
  <c r="H34" i="58"/>
  <c r="F34" i="54"/>
  <c r="F33" i="52"/>
  <c r="H24" i="55"/>
  <c r="F33" i="55"/>
  <c r="G33" i="55"/>
  <c r="H25" i="53"/>
  <c r="C37" i="51"/>
  <c r="H24" i="51"/>
  <c r="F33" i="51"/>
  <c r="G33" i="51"/>
  <c r="F33" i="50"/>
  <c r="F34" i="53"/>
  <c r="H33" i="51" l="1"/>
  <c r="C40" i="53"/>
  <c r="E40" i="52"/>
  <c r="C40" i="52" s="1"/>
  <c r="C39" i="50"/>
  <c r="H33" i="50"/>
  <c r="C40" i="54"/>
  <c r="H34" i="54"/>
  <c r="C42" i="53"/>
  <c r="H34" i="53"/>
  <c r="H33" i="52"/>
  <c r="H33" i="55"/>
  <c r="C39" i="55"/>
  <c r="E41" i="55"/>
  <c r="C41" i="55" s="1"/>
  <c r="C39" i="51"/>
  <c r="E40" i="51"/>
  <c r="C40" i="51" s="1"/>
  <c r="E33" i="49"/>
  <c r="E33" i="48"/>
  <c r="M24" i="49" l="1"/>
  <c r="F32" i="49" s="1"/>
  <c r="N24" i="49"/>
  <c r="G26" i="49" s="1"/>
  <c r="N24" i="48"/>
  <c r="G28" i="48" s="1"/>
  <c r="M24" i="48"/>
  <c r="F26" i="48" s="1"/>
  <c r="G27" i="49"/>
  <c r="F30" i="49"/>
  <c r="F28" i="49"/>
  <c r="F26" i="49"/>
  <c r="F24" i="49"/>
  <c r="F29" i="49"/>
  <c r="F27" i="49"/>
  <c r="H27" i="49" s="1"/>
  <c r="F25" i="49"/>
  <c r="E33" i="47"/>
  <c r="G28" i="49" l="1"/>
  <c r="G25" i="49"/>
  <c r="G30" i="49"/>
  <c r="G32" i="49"/>
  <c r="H32" i="49" s="1"/>
  <c r="G24" i="49"/>
  <c r="H26" i="49"/>
  <c r="G29" i="49"/>
  <c r="G30" i="48"/>
  <c r="G32" i="48"/>
  <c r="F24" i="48"/>
  <c r="H24" i="48" s="1"/>
  <c r="G25" i="48"/>
  <c r="F30" i="48"/>
  <c r="F32" i="48"/>
  <c r="H32" i="48" s="1"/>
  <c r="F25" i="48"/>
  <c r="F28" i="48"/>
  <c r="G24" i="48"/>
  <c r="F29" i="48"/>
  <c r="G29" i="48"/>
  <c r="H29" i="48" s="1"/>
  <c r="G26" i="48"/>
  <c r="M24" i="47"/>
  <c r="N24" i="47"/>
  <c r="H27" i="48"/>
  <c r="H24" i="49"/>
  <c r="E37" i="49"/>
  <c r="C37" i="49" s="1"/>
  <c r="H29" i="49"/>
  <c r="H26" i="48"/>
  <c r="H30" i="48"/>
  <c r="H28" i="48"/>
  <c r="H25" i="49"/>
  <c r="H28" i="49"/>
  <c r="H30" i="49"/>
  <c r="F33" i="49"/>
  <c r="E39" i="49" l="1"/>
  <c r="E40" i="49" s="1"/>
  <c r="C40" i="49" s="1"/>
  <c r="G33" i="49"/>
  <c r="F33" i="48"/>
  <c r="H25" i="48"/>
  <c r="E39" i="48"/>
  <c r="E40" i="48" s="1"/>
  <c r="C40" i="48" s="1"/>
  <c r="G33" i="48"/>
  <c r="E37" i="48"/>
  <c r="C37" i="48" s="1"/>
  <c r="H33" i="48"/>
  <c r="G30" i="47"/>
  <c r="G28" i="47"/>
  <c r="G26" i="47"/>
  <c r="G24" i="47"/>
  <c r="G25" i="47"/>
  <c r="G32" i="47"/>
  <c r="G27" i="47"/>
  <c r="G29" i="47"/>
  <c r="F30" i="47"/>
  <c r="H30" i="47" s="1"/>
  <c r="F28" i="47"/>
  <c r="H28" i="47" s="1"/>
  <c r="F26" i="47"/>
  <c r="F24" i="47"/>
  <c r="F29" i="47"/>
  <c r="F27" i="47"/>
  <c r="H27" i="47" s="1"/>
  <c r="F32" i="47"/>
  <c r="F25" i="47"/>
  <c r="H33" i="49"/>
  <c r="C39" i="49"/>
  <c r="H26" i="47"/>
  <c r="C39" i="48" l="1"/>
  <c r="H29" i="47"/>
  <c r="E39" i="47"/>
  <c r="C39" i="47" s="1"/>
  <c r="E37" i="47"/>
  <c r="C37" i="47"/>
  <c r="H32" i="47"/>
  <c r="H25" i="47"/>
  <c r="F33" i="47"/>
  <c r="H24" i="47"/>
  <c r="G33" i="47"/>
  <c r="E33" i="46"/>
  <c r="E34" i="45"/>
  <c r="E34" i="44"/>
  <c r="E33" i="43"/>
  <c r="E34" i="41"/>
  <c r="M24" i="43" l="1"/>
  <c r="N24" i="43"/>
  <c r="N25" i="44"/>
  <c r="M25" i="44"/>
  <c r="N25" i="45"/>
  <c r="M25" i="45"/>
  <c r="M25" i="41"/>
  <c r="F33" i="41" s="1"/>
  <c r="N25" i="41"/>
  <c r="N24" i="46"/>
  <c r="M24" i="46"/>
  <c r="H33" i="47"/>
  <c r="E40" i="47"/>
  <c r="C40" i="47" s="1"/>
  <c r="E34" i="39"/>
  <c r="E33" i="37"/>
  <c r="F33" i="44" l="1"/>
  <c r="M24" i="37"/>
  <c r="M25" i="37" s="1"/>
  <c r="M27" i="37" s="1"/>
  <c r="N24" i="37"/>
  <c r="M25" i="39"/>
  <c r="N25" i="39"/>
  <c r="N26" i="39" s="1"/>
  <c r="E39" i="39" s="1"/>
  <c r="N25" i="37"/>
  <c r="E38" i="37" s="1"/>
  <c r="F31" i="41"/>
  <c r="F29" i="41"/>
  <c r="F27" i="41"/>
  <c r="F25" i="41"/>
  <c r="F30" i="41"/>
  <c r="F26" i="41"/>
  <c r="F31" i="45"/>
  <c r="F29" i="45"/>
  <c r="F27" i="45"/>
  <c r="F25" i="45"/>
  <c r="F33" i="45"/>
  <c r="F28" i="45"/>
  <c r="F30" i="45"/>
  <c r="F26" i="45"/>
  <c r="G30" i="43"/>
  <c r="G28" i="43"/>
  <c r="G26" i="43"/>
  <c r="G24" i="43"/>
  <c r="G25" i="43"/>
  <c r="G32" i="43"/>
  <c r="G29" i="43"/>
  <c r="G31" i="44"/>
  <c r="G29" i="44"/>
  <c r="G27" i="44"/>
  <c r="G25" i="44"/>
  <c r="G26" i="44"/>
  <c r="G33" i="44"/>
  <c r="G30" i="44"/>
  <c r="F30" i="43"/>
  <c r="H30" i="43" s="1"/>
  <c r="F28" i="43"/>
  <c r="F26" i="43"/>
  <c r="F24" i="43"/>
  <c r="F32" i="43"/>
  <c r="F25" i="43"/>
  <c r="F29" i="43"/>
  <c r="H29" i="43" s="1"/>
  <c r="F31" i="44"/>
  <c r="F29" i="44"/>
  <c r="F27" i="44"/>
  <c r="F25" i="44"/>
  <c r="F30" i="44"/>
  <c r="F26" i="44"/>
  <c r="G31" i="41"/>
  <c r="G29" i="41"/>
  <c r="G27" i="41"/>
  <c r="G25" i="41"/>
  <c r="G26" i="41"/>
  <c r="G30" i="41"/>
  <c r="G33" i="41"/>
  <c r="G31" i="45"/>
  <c r="G29" i="45"/>
  <c r="G27" i="45"/>
  <c r="H27" i="45" s="1"/>
  <c r="G25" i="45"/>
  <c r="G26" i="45"/>
  <c r="G28" i="45"/>
  <c r="G30" i="45"/>
  <c r="G33" i="45"/>
  <c r="G32" i="46"/>
  <c r="G30" i="46"/>
  <c r="G29" i="46"/>
  <c r="G28" i="46"/>
  <c r="G26" i="46"/>
  <c r="G25" i="46"/>
  <c r="G24" i="46"/>
  <c r="F32" i="46"/>
  <c r="H32" i="46" s="1"/>
  <c r="F30" i="46"/>
  <c r="H30" i="46" s="1"/>
  <c r="F29" i="46"/>
  <c r="F28" i="46"/>
  <c r="H28" i="46" s="1"/>
  <c r="F26" i="46"/>
  <c r="F25" i="46"/>
  <c r="H25" i="46" s="1"/>
  <c r="F24" i="46"/>
  <c r="H27" i="44"/>
  <c r="H31" i="43"/>
  <c r="G39" i="43"/>
  <c r="G40" i="43" s="1"/>
  <c r="M26" i="39"/>
  <c r="M28" i="39" s="1"/>
  <c r="H31" i="44" l="1"/>
  <c r="H26" i="46"/>
  <c r="H29" i="46"/>
  <c r="H27" i="46"/>
  <c r="E38" i="44"/>
  <c r="C38" i="44" s="1"/>
  <c r="E40" i="44"/>
  <c r="E42" i="44" s="1"/>
  <c r="C42" i="44" s="1"/>
  <c r="H28" i="43"/>
  <c r="H30" i="41"/>
  <c r="E39" i="46"/>
  <c r="E40" i="41"/>
  <c r="E42" i="41" s="1"/>
  <c r="C42" i="41" s="1"/>
  <c r="H27" i="41"/>
  <c r="E37" i="46"/>
  <c r="C37" i="46" s="1"/>
  <c r="E40" i="45"/>
  <c r="H30" i="45"/>
  <c r="E38" i="45"/>
  <c r="C38" i="45" s="1"/>
  <c r="H28" i="44"/>
  <c r="E39" i="43"/>
  <c r="E37" i="43"/>
  <c r="C37" i="43" s="1"/>
  <c r="H32" i="43"/>
  <c r="H26" i="43"/>
  <c r="E38" i="41"/>
  <c r="C38" i="41" s="1"/>
  <c r="H28" i="41"/>
  <c r="N28" i="39"/>
  <c r="N27" i="37"/>
  <c r="H27" i="43"/>
  <c r="H24" i="46"/>
  <c r="H29" i="45"/>
  <c r="H25" i="44"/>
  <c r="H25" i="43"/>
  <c r="G33" i="46"/>
  <c r="H28" i="45"/>
  <c r="H26" i="45"/>
  <c r="H25" i="45"/>
  <c r="H33" i="44"/>
  <c r="H29" i="44"/>
  <c r="H30" i="44"/>
  <c r="H29" i="41"/>
  <c r="H26" i="41"/>
  <c r="H25" i="41"/>
  <c r="G34" i="45"/>
  <c r="E42" i="45"/>
  <c r="C42" i="45" s="1"/>
  <c r="G34" i="41"/>
  <c r="H26" i="44"/>
  <c r="E40" i="43"/>
  <c r="C40" i="43" s="1"/>
  <c r="H33" i="45"/>
  <c r="H31" i="45"/>
  <c r="H33" i="41"/>
  <c r="H31" i="41"/>
  <c r="G34" i="44"/>
  <c r="G31" i="39"/>
  <c r="G29" i="39"/>
  <c r="G27" i="39"/>
  <c r="G25" i="39"/>
  <c r="G26" i="39"/>
  <c r="G30" i="39"/>
  <c r="G33" i="39"/>
  <c r="F31" i="39"/>
  <c r="F29" i="39"/>
  <c r="F27" i="39"/>
  <c r="F25" i="39"/>
  <c r="F30" i="39"/>
  <c r="F26" i="39"/>
  <c r="F33" i="39"/>
  <c r="G30" i="37"/>
  <c r="G28" i="37"/>
  <c r="G26" i="37"/>
  <c r="G24" i="37"/>
  <c r="G25" i="37"/>
  <c r="G29" i="37"/>
  <c r="G32" i="37"/>
  <c r="G33" i="43"/>
  <c r="F30" i="37"/>
  <c r="F28" i="37"/>
  <c r="F26" i="37"/>
  <c r="F24" i="37"/>
  <c r="F32" i="37"/>
  <c r="F25" i="37"/>
  <c r="F29" i="37"/>
  <c r="F33" i="46"/>
  <c r="F34" i="45"/>
  <c r="F34" i="44"/>
  <c r="F34" i="41"/>
  <c r="H24" i="43"/>
  <c r="F33" i="43"/>
  <c r="H33" i="46" l="1"/>
  <c r="G39" i="39"/>
  <c r="G42" i="39" s="1"/>
  <c r="E40" i="39"/>
  <c r="E42" i="39" s="1"/>
  <c r="C42" i="39" s="1"/>
  <c r="G40" i="37"/>
  <c r="G38" i="37"/>
  <c r="E38" i="39"/>
  <c r="H29" i="37"/>
  <c r="E39" i="37"/>
  <c r="E40" i="37" s="1"/>
  <c r="E37" i="37"/>
  <c r="C37" i="37" s="1"/>
  <c r="G33" i="37"/>
  <c r="C39" i="39"/>
  <c r="H27" i="39"/>
  <c r="C38" i="37"/>
  <c r="H33" i="43"/>
  <c r="E40" i="46"/>
  <c r="C40" i="46" s="1"/>
  <c r="H28" i="37"/>
  <c r="H34" i="45"/>
  <c r="C40" i="45"/>
  <c r="H34" i="44"/>
  <c r="C40" i="44"/>
  <c r="H34" i="41"/>
  <c r="C40" i="41"/>
  <c r="H29" i="39"/>
  <c r="H26" i="39"/>
  <c r="C39" i="46"/>
  <c r="C39" i="43"/>
  <c r="H26" i="37"/>
  <c r="H28" i="39"/>
  <c r="H33" i="39"/>
  <c r="G34" i="39"/>
  <c r="H27" i="37"/>
  <c r="H24" i="37"/>
  <c r="H25" i="37"/>
  <c r="H30" i="37"/>
  <c r="H30" i="39"/>
  <c r="H32" i="37"/>
  <c r="F34" i="39"/>
  <c r="C38" i="39"/>
  <c r="H31" i="39"/>
  <c r="H25" i="39"/>
  <c r="F33" i="37"/>
  <c r="C40" i="37" l="1"/>
  <c r="H33" i="37"/>
  <c r="C39" i="37"/>
  <c r="C40" i="39"/>
  <c r="H34" i="39"/>
  <c r="E34" i="36"/>
  <c r="E34" i="35"/>
  <c r="E33" i="34"/>
  <c r="E34" i="33"/>
  <c r="E34" i="32"/>
  <c r="E34" i="31"/>
  <c r="N25" i="32" l="1"/>
  <c r="G28" i="32" s="1"/>
  <c r="M25" i="32"/>
  <c r="F28" i="32" s="1"/>
  <c r="M24" i="33"/>
  <c r="F28" i="33" s="1"/>
  <c r="N24" i="33"/>
  <c r="G28" i="33" s="1"/>
  <c r="M24" i="34"/>
  <c r="N24" i="34"/>
  <c r="G27" i="34" s="1"/>
  <c r="N25" i="36"/>
  <c r="G28" i="36" s="1"/>
  <c r="M25" i="36"/>
  <c r="F28" i="36" s="1"/>
  <c r="N24" i="31"/>
  <c r="G28" i="31" s="1"/>
  <c r="M24" i="31"/>
  <c r="F28" i="31" s="1"/>
  <c r="N25" i="35"/>
  <c r="G28" i="35" s="1"/>
  <c r="M25" i="35"/>
  <c r="E33" i="30"/>
  <c r="E33" i="29"/>
  <c r="E33" i="28"/>
  <c r="E33" i="27"/>
  <c r="N25" i="34" l="1"/>
  <c r="E38" i="34" s="1"/>
  <c r="M25" i="34"/>
  <c r="M27" i="34" s="1"/>
  <c r="F27" i="34"/>
  <c r="N24" i="29"/>
  <c r="G27" i="29" s="1"/>
  <c r="M24" i="29"/>
  <c r="M24" i="30"/>
  <c r="F27" i="30" s="1"/>
  <c r="N24" i="30"/>
  <c r="G27" i="30" s="1"/>
  <c r="N24" i="27"/>
  <c r="G27" i="27" s="1"/>
  <c r="M24" i="27"/>
  <c r="N24" i="28"/>
  <c r="G27" i="28" s="1"/>
  <c r="M24" i="28"/>
  <c r="F27" i="28" s="1"/>
  <c r="N27" i="34"/>
  <c r="F31" i="31"/>
  <c r="F29" i="31"/>
  <c r="F26" i="31"/>
  <c r="F24" i="31"/>
  <c r="F30" i="31"/>
  <c r="F33" i="31"/>
  <c r="F25" i="31"/>
  <c r="F31" i="33"/>
  <c r="F29" i="33"/>
  <c r="F26" i="33"/>
  <c r="F24" i="33"/>
  <c r="F30" i="33"/>
  <c r="F25" i="33"/>
  <c r="F33" i="33"/>
  <c r="G31" i="35"/>
  <c r="G29" i="35"/>
  <c r="G27" i="35"/>
  <c r="G25" i="35"/>
  <c r="G26" i="35"/>
  <c r="G30" i="35"/>
  <c r="G33" i="35"/>
  <c r="G31" i="32"/>
  <c r="G29" i="32"/>
  <c r="G27" i="32"/>
  <c r="G25" i="32"/>
  <c r="G26" i="32"/>
  <c r="G33" i="32"/>
  <c r="G30" i="32"/>
  <c r="G30" i="34"/>
  <c r="G28" i="34"/>
  <c r="G26" i="34"/>
  <c r="G24" i="34"/>
  <c r="G25" i="34"/>
  <c r="G32" i="34"/>
  <c r="G29" i="34"/>
  <c r="G31" i="36"/>
  <c r="G29" i="36"/>
  <c r="G27" i="36"/>
  <c r="G25" i="36"/>
  <c r="G26" i="36"/>
  <c r="G33" i="36"/>
  <c r="G30" i="36"/>
  <c r="F31" i="32"/>
  <c r="F29" i="32"/>
  <c r="F27" i="32"/>
  <c r="H27" i="32" s="1"/>
  <c r="F25" i="32"/>
  <c r="F30" i="32"/>
  <c r="F26" i="32"/>
  <c r="F33" i="32"/>
  <c r="H28" i="32"/>
  <c r="F30" i="34"/>
  <c r="F28" i="34"/>
  <c r="H28" i="34" s="1"/>
  <c r="F26" i="34"/>
  <c r="H26" i="34" s="1"/>
  <c r="F24" i="34"/>
  <c r="H24" i="34" s="1"/>
  <c r="F29" i="34"/>
  <c r="F25" i="34"/>
  <c r="F32" i="34"/>
  <c r="F31" i="36"/>
  <c r="F29" i="36"/>
  <c r="H29" i="36" s="1"/>
  <c r="F27" i="36"/>
  <c r="F25" i="36"/>
  <c r="F30" i="36"/>
  <c r="F26" i="36"/>
  <c r="F33" i="36"/>
  <c r="G31" i="31"/>
  <c r="G29" i="31"/>
  <c r="H29" i="31" s="1"/>
  <c r="G26" i="31"/>
  <c r="G24" i="31"/>
  <c r="G25" i="31"/>
  <c r="G30" i="31"/>
  <c r="G33" i="31"/>
  <c r="G31" i="33"/>
  <c r="G29" i="33"/>
  <c r="G26" i="33"/>
  <c r="G24" i="33"/>
  <c r="G25" i="33"/>
  <c r="G30" i="33"/>
  <c r="G33" i="33"/>
  <c r="F31" i="35"/>
  <c r="F29" i="35"/>
  <c r="F27" i="35"/>
  <c r="F25" i="35"/>
  <c r="F30" i="35"/>
  <c r="H30" i="35" s="1"/>
  <c r="F26" i="35"/>
  <c r="F33" i="35"/>
  <c r="E33" i="23"/>
  <c r="E33" i="22"/>
  <c r="H27" i="36" l="1"/>
  <c r="H31" i="36"/>
  <c r="H29" i="35"/>
  <c r="H30" i="34"/>
  <c r="H26" i="33"/>
  <c r="F32" i="29"/>
  <c r="F27" i="29"/>
  <c r="F32" i="27"/>
  <c r="F27" i="27"/>
  <c r="N24" i="23"/>
  <c r="G27" i="23" s="1"/>
  <c r="M24" i="23"/>
  <c r="F27" i="23" s="1"/>
  <c r="E40" i="32"/>
  <c r="C40" i="32" s="1"/>
  <c r="G38" i="34"/>
  <c r="C38" i="34" s="1"/>
  <c r="M24" i="22"/>
  <c r="N24" i="22"/>
  <c r="G27" i="22" s="1"/>
  <c r="E40" i="36"/>
  <c r="E38" i="36"/>
  <c r="C38" i="36" s="1"/>
  <c r="H25" i="36"/>
  <c r="E40" i="35"/>
  <c r="C40" i="35" s="1"/>
  <c r="E38" i="35"/>
  <c r="C38" i="35" s="1"/>
  <c r="H27" i="35"/>
  <c r="H31" i="35"/>
  <c r="E39" i="34"/>
  <c r="E37" i="34"/>
  <c r="C37" i="34" s="1"/>
  <c r="H27" i="34"/>
  <c r="H24" i="33"/>
  <c r="E40" i="33"/>
  <c r="E41" i="33" s="1"/>
  <c r="C41" i="33" s="1"/>
  <c r="E38" i="33"/>
  <c r="C38" i="33" s="1"/>
  <c r="H25" i="33"/>
  <c r="H30" i="32"/>
  <c r="E38" i="32"/>
  <c r="C38" i="32" s="1"/>
  <c r="H24" i="31"/>
  <c r="E40" i="31"/>
  <c r="E41" i="31" s="1"/>
  <c r="C41" i="31" s="1"/>
  <c r="E38" i="31"/>
  <c r="H26" i="31"/>
  <c r="H28" i="31"/>
  <c r="G34" i="31"/>
  <c r="C38" i="31"/>
  <c r="H28" i="36"/>
  <c r="H26" i="36"/>
  <c r="H33" i="36"/>
  <c r="H25" i="35"/>
  <c r="C39" i="34"/>
  <c r="H26" i="32"/>
  <c r="H30" i="33"/>
  <c r="H26" i="35"/>
  <c r="F34" i="33"/>
  <c r="H28" i="35"/>
  <c r="G34" i="35"/>
  <c r="G34" i="36"/>
  <c r="F34" i="35"/>
  <c r="H25" i="34"/>
  <c r="G33" i="34"/>
  <c r="H29" i="34"/>
  <c r="H29" i="33"/>
  <c r="H31" i="33"/>
  <c r="G34" i="33"/>
  <c r="H28" i="33"/>
  <c r="H30" i="31"/>
  <c r="H31" i="31"/>
  <c r="H25" i="31"/>
  <c r="H33" i="31"/>
  <c r="G30" i="27"/>
  <c r="G28" i="27"/>
  <c r="G26" i="27"/>
  <c r="G24" i="27"/>
  <c r="G25" i="27"/>
  <c r="G32" i="27"/>
  <c r="H32" i="27" s="1"/>
  <c r="G29" i="27"/>
  <c r="G30" i="30"/>
  <c r="G28" i="30"/>
  <c r="G26" i="30"/>
  <c r="G24" i="30"/>
  <c r="G25" i="30"/>
  <c r="G32" i="30"/>
  <c r="G29" i="30"/>
  <c r="F30" i="27"/>
  <c r="H30" i="27" s="1"/>
  <c r="F28" i="27"/>
  <c r="H28" i="27" s="1"/>
  <c r="F26" i="27"/>
  <c r="F24" i="27"/>
  <c r="F29" i="27"/>
  <c r="H29" i="27" s="1"/>
  <c r="F25" i="27"/>
  <c r="F30" i="30"/>
  <c r="H30" i="30" s="1"/>
  <c r="F28" i="30"/>
  <c r="H28" i="30" s="1"/>
  <c r="F26" i="30"/>
  <c r="F24" i="30"/>
  <c r="F32" i="30"/>
  <c r="F25" i="30"/>
  <c r="F29" i="30"/>
  <c r="G30" i="29"/>
  <c r="G28" i="29"/>
  <c r="G26" i="29"/>
  <c r="G24" i="29"/>
  <c r="G25" i="29"/>
  <c r="G29" i="29"/>
  <c r="G32" i="29"/>
  <c r="F30" i="29"/>
  <c r="H30" i="29" s="1"/>
  <c r="F28" i="29"/>
  <c r="F26" i="29"/>
  <c r="F24" i="29"/>
  <c r="F29" i="29"/>
  <c r="F25" i="29"/>
  <c r="F33" i="34"/>
  <c r="C40" i="36"/>
  <c r="H33" i="35"/>
  <c r="H32" i="34"/>
  <c r="H33" i="33"/>
  <c r="F34" i="36"/>
  <c r="H30" i="36"/>
  <c r="H33" i="32"/>
  <c r="G32" i="28"/>
  <c r="G30" i="28"/>
  <c r="G29" i="28"/>
  <c r="G28" i="28"/>
  <c r="G26" i="28"/>
  <c r="G25" i="28"/>
  <c r="G24" i="28"/>
  <c r="F32" i="28"/>
  <c r="F30" i="28"/>
  <c r="F29" i="28"/>
  <c r="F28" i="28"/>
  <c r="H28" i="28" s="1"/>
  <c r="F26" i="28"/>
  <c r="F25" i="28"/>
  <c r="F24" i="28"/>
  <c r="E42" i="35"/>
  <c r="C42" i="35" s="1"/>
  <c r="H31" i="32"/>
  <c r="F34" i="32"/>
  <c r="H25" i="32"/>
  <c r="G34" i="32"/>
  <c r="H29" i="32"/>
  <c r="F34" i="31"/>
  <c r="H26" i="27"/>
  <c r="E33" i="21"/>
  <c r="E33" i="18"/>
  <c r="E34" i="17"/>
  <c r="E34" i="16"/>
  <c r="E33" i="15"/>
  <c r="E34" i="14"/>
  <c r="E33" i="13"/>
  <c r="G40" i="34" l="1"/>
  <c r="H26" i="30"/>
  <c r="H28" i="29"/>
  <c r="H26" i="28"/>
  <c r="F32" i="22"/>
  <c r="F27" i="22"/>
  <c r="N24" i="13"/>
  <c r="G27" i="13" s="1"/>
  <c r="M24" i="13"/>
  <c r="F27" i="13" s="1"/>
  <c r="M24" i="15"/>
  <c r="N24" i="15"/>
  <c r="N24" i="21"/>
  <c r="G27" i="21" s="1"/>
  <c r="M24" i="21"/>
  <c r="F27" i="21" s="1"/>
  <c r="N25" i="16"/>
  <c r="G28" i="16" s="1"/>
  <c r="M25" i="16"/>
  <c r="F28" i="16" s="1"/>
  <c r="N25" i="17"/>
  <c r="G28" i="17" s="1"/>
  <c r="M25" i="17"/>
  <c r="F28" i="17" s="1"/>
  <c r="N25" i="14"/>
  <c r="G28" i="14" s="1"/>
  <c r="M25" i="14"/>
  <c r="F28" i="14" s="1"/>
  <c r="N24" i="18"/>
  <c r="G27" i="18" s="1"/>
  <c r="M24" i="18"/>
  <c r="F27" i="18" s="1"/>
  <c r="E39" i="28"/>
  <c r="E40" i="28" s="1"/>
  <c r="C40" i="28" s="1"/>
  <c r="H34" i="35"/>
  <c r="E39" i="30"/>
  <c r="E37" i="30"/>
  <c r="E39" i="29"/>
  <c r="C39" i="29" s="1"/>
  <c r="H24" i="29"/>
  <c r="E37" i="29"/>
  <c r="C37" i="29" s="1"/>
  <c r="H26" i="29"/>
  <c r="E37" i="28"/>
  <c r="C37" i="28" s="1"/>
  <c r="H30" i="28"/>
  <c r="H27" i="28"/>
  <c r="H32" i="28"/>
  <c r="E39" i="27"/>
  <c r="E37" i="27"/>
  <c r="C37" i="27" s="1"/>
  <c r="H34" i="36"/>
  <c r="H34" i="31"/>
  <c r="H27" i="29"/>
  <c r="H27" i="27"/>
  <c r="H25" i="28"/>
  <c r="C40" i="33"/>
  <c r="H29" i="28"/>
  <c r="H29" i="29"/>
  <c r="H25" i="29"/>
  <c r="H32" i="30"/>
  <c r="H25" i="30"/>
  <c r="H25" i="27"/>
  <c r="H34" i="33"/>
  <c r="E42" i="36"/>
  <c r="C42" i="36" s="1"/>
  <c r="H33" i="34"/>
  <c r="E40" i="34"/>
  <c r="C40" i="34" s="1"/>
  <c r="C40" i="31"/>
  <c r="H27" i="30"/>
  <c r="E40" i="30"/>
  <c r="C40" i="30" s="1"/>
  <c r="G33" i="30"/>
  <c r="H29" i="30"/>
  <c r="G33" i="29"/>
  <c r="H32" i="29"/>
  <c r="G33" i="28"/>
  <c r="G33" i="27"/>
  <c r="F30" i="22"/>
  <c r="F28" i="22"/>
  <c r="F26" i="22"/>
  <c r="F24" i="22"/>
  <c r="F29" i="22"/>
  <c r="F25" i="22"/>
  <c r="G30" i="23"/>
  <c r="G28" i="23"/>
  <c r="G26" i="23"/>
  <c r="G24" i="23"/>
  <c r="G25" i="23"/>
  <c r="G32" i="23"/>
  <c r="G29" i="23"/>
  <c r="G30" i="22"/>
  <c r="G28" i="22"/>
  <c r="G26" i="22"/>
  <c r="G24" i="22"/>
  <c r="G25" i="22"/>
  <c r="G29" i="22"/>
  <c r="H29" i="22" s="1"/>
  <c r="G32" i="22"/>
  <c r="F30" i="23"/>
  <c r="F28" i="23"/>
  <c r="F26" i="23"/>
  <c r="F24" i="23"/>
  <c r="F29" i="23"/>
  <c r="F32" i="23"/>
  <c r="F25" i="23"/>
  <c r="E40" i="27"/>
  <c r="C40" i="27" s="1"/>
  <c r="C37" i="30"/>
  <c r="E42" i="32"/>
  <c r="C42" i="32" s="1"/>
  <c r="H34" i="32"/>
  <c r="F33" i="30"/>
  <c r="H24" i="30"/>
  <c r="F33" i="29"/>
  <c r="F33" i="27"/>
  <c r="H24" i="27"/>
  <c r="N25" i="21"/>
  <c r="N27" i="21" s="1"/>
  <c r="M25" i="21"/>
  <c r="M27" i="21" s="1"/>
  <c r="G37" i="21" s="1"/>
  <c r="F33" i="14"/>
  <c r="F33" i="28"/>
  <c r="H24" i="28"/>
  <c r="H33" i="28" l="1"/>
  <c r="E39" i="22"/>
  <c r="E39" i="23"/>
  <c r="E37" i="23"/>
  <c r="C37" i="23" s="1"/>
  <c r="E37" i="22"/>
  <c r="C37" i="22" s="1"/>
  <c r="H33" i="29"/>
  <c r="H33" i="27"/>
  <c r="H32" i="23"/>
  <c r="H26" i="22"/>
  <c r="E40" i="22"/>
  <c r="C40" i="22" s="1"/>
  <c r="C39" i="30"/>
  <c r="H33" i="30"/>
  <c r="E40" i="29"/>
  <c r="C40" i="29" s="1"/>
  <c r="C39" i="28"/>
  <c r="H30" i="22"/>
  <c r="G33" i="22"/>
  <c r="H25" i="22"/>
  <c r="H32" i="22"/>
  <c r="G30" i="13"/>
  <c r="G28" i="13"/>
  <c r="G26" i="13"/>
  <c r="G24" i="13"/>
  <c r="G25" i="13"/>
  <c r="G32" i="13"/>
  <c r="G29" i="13"/>
  <c r="F30" i="13"/>
  <c r="H30" i="13" s="1"/>
  <c r="F28" i="13"/>
  <c r="F26" i="13"/>
  <c r="H26" i="13" s="1"/>
  <c r="F24" i="13"/>
  <c r="F32" i="13"/>
  <c r="F29" i="13"/>
  <c r="F25" i="13"/>
  <c r="G31" i="17"/>
  <c r="G29" i="17"/>
  <c r="G27" i="17"/>
  <c r="G25" i="17"/>
  <c r="G26" i="17"/>
  <c r="G30" i="17"/>
  <c r="G33" i="17"/>
  <c r="G31" i="14"/>
  <c r="G29" i="14"/>
  <c r="G27" i="14"/>
  <c r="G25" i="14"/>
  <c r="G26" i="14"/>
  <c r="G30" i="14"/>
  <c r="G33" i="14"/>
  <c r="G31" i="16"/>
  <c r="G29" i="16"/>
  <c r="G27" i="16"/>
  <c r="G25" i="16"/>
  <c r="G26" i="16"/>
  <c r="G33" i="16"/>
  <c r="G30" i="16"/>
  <c r="G30" i="21"/>
  <c r="G28" i="21"/>
  <c r="G26" i="21"/>
  <c r="G24" i="21"/>
  <c r="G25" i="21"/>
  <c r="G32" i="21"/>
  <c r="G29" i="21"/>
  <c r="F31" i="17"/>
  <c r="F29" i="17"/>
  <c r="H29" i="17" s="1"/>
  <c r="F27" i="17"/>
  <c r="H27" i="17" s="1"/>
  <c r="F25" i="17"/>
  <c r="F33" i="17"/>
  <c r="H28" i="17"/>
  <c r="F30" i="17"/>
  <c r="H30" i="17" s="1"/>
  <c r="F26" i="17"/>
  <c r="F31" i="14"/>
  <c r="F29" i="14"/>
  <c r="H29" i="14" s="1"/>
  <c r="F27" i="14"/>
  <c r="H27" i="14" s="1"/>
  <c r="F25" i="14"/>
  <c r="F30" i="14"/>
  <c r="F26" i="14"/>
  <c r="F31" i="16"/>
  <c r="F29" i="16"/>
  <c r="F27" i="16"/>
  <c r="F25" i="16"/>
  <c r="F33" i="16"/>
  <c r="F30" i="16"/>
  <c r="F26" i="16"/>
  <c r="F30" i="21"/>
  <c r="F28" i="21"/>
  <c r="F26" i="21"/>
  <c r="H26" i="21" s="1"/>
  <c r="F24" i="21"/>
  <c r="F32" i="21"/>
  <c r="F29" i="21"/>
  <c r="F25" i="21"/>
  <c r="C39" i="27"/>
  <c r="G33" i="23"/>
  <c r="H28" i="23"/>
  <c r="H25" i="23"/>
  <c r="H29" i="23"/>
  <c r="H24" i="23"/>
  <c r="F33" i="23"/>
  <c r="H30" i="23"/>
  <c r="H27" i="23"/>
  <c r="H26" i="23"/>
  <c r="H24" i="22"/>
  <c r="G32" i="18"/>
  <c r="G30" i="18"/>
  <c r="G29" i="18"/>
  <c r="G28" i="18"/>
  <c r="G26" i="18"/>
  <c r="G25" i="18"/>
  <c r="G24" i="18"/>
  <c r="F32" i="18"/>
  <c r="F30" i="18"/>
  <c r="H30" i="18" s="1"/>
  <c r="F29" i="18"/>
  <c r="F28" i="18"/>
  <c r="H27" i="18"/>
  <c r="F26" i="18"/>
  <c r="H26" i="18" s="1"/>
  <c r="F25" i="18"/>
  <c r="H25" i="18" s="1"/>
  <c r="F24" i="18"/>
  <c r="G32" i="15"/>
  <c r="G30" i="15"/>
  <c r="G29" i="15"/>
  <c r="G28" i="15"/>
  <c r="G27" i="15"/>
  <c r="G26" i="15"/>
  <c r="G25" i="15"/>
  <c r="G24" i="15"/>
  <c r="F32" i="15"/>
  <c r="H32" i="15" s="1"/>
  <c r="F30" i="15"/>
  <c r="H30" i="15" s="1"/>
  <c r="F29" i="15"/>
  <c r="H29" i="15" s="1"/>
  <c r="F28" i="15"/>
  <c r="F27" i="15"/>
  <c r="F26" i="15"/>
  <c r="H26" i="15" s="1"/>
  <c r="F25" i="15"/>
  <c r="H25" i="15" s="1"/>
  <c r="F24" i="15"/>
  <c r="H27" i="22"/>
  <c r="F33" i="22"/>
  <c r="H28" i="22"/>
  <c r="H31" i="14" l="1"/>
  <c r="H29" i="18"/>
  <c r="H31" i="17"/>
  <c r="H28" i="16"/>
  <c r="H31" i="16"/>
  <c r="H28" i="13"/>
  <c r="E38" i="16"/>
  <c r="C38" i="16" s="1"/>
  <c r="H29" i="16"/>
  <c r="H33" i="16"/>
  <c r="E39" i="21"/>
  <c r="C39" i="21" s="1"/>
  <c r="E40" i="17"/>
  <c r="E42" i="17" s="1"/>
  <c r="C42" i="17" s="1"/>
  <c r="E37" i="21"/>
  <c r="C37" i="21" s="1"/>
  <c r="H32" i="21"/>
  <c r="H30" i="21"/>
  <c r="E39" i="18"/>
  <c r="E37" i="18"/>
  <c r="C37" i="18" s="1"/>
  <c r="H25" i="17"/>
  <c r="E38" i="17"/>
  <c r="C38" i="17" s="1"/>
  <c r="E42" i="16"/>
  <c r="C42" i="16" s="1"/>
  <c r="H28" i="15"/>
  <c r="E39" i="15"/>
  <c r="E37" i="15"/>
  <c r="C37" i="15" s="1"/>
  <c r="E40" i="14"/>
  <c r="C40" i="14" s="1"/>
  <c r="E38" i="14"/>
  <c r="C38" i="14" s="1"/>
  <c r="H28" i="14"/>
  <c r="E39" i="13"/>
  <c r="E40" i="13" s="1"/>
  <c r="C40" i="13" s="1"/>
  <c r="H24" i="13"/>
  <c r="E37" i="13"/>
  <c r="C37" i="13" s="1"/>
  <c r="F33" i="18"/>
  <c r="H33" i="22"/>
  <c r="G33" i="21"/>
  <c r="H27" i="13"/>
  <c r="C39" i="22"/>
  <c r="H33" i="14"/>
  <c r="H33" i="17"/>
  <c r="H32" i="13"/>
  <c r="H27" i="21"/>
  <c r="H28" i="21"/>
  <c r="F33" i="13"/>
  <c r="H29" i="21"/>
  <c r="H26" i="17"/>
  <c r="H30" i="16"/>
  <c r="H25" i="13"/>
  <c r="H29" i="13"/>
  <c r="G33" i="13"/>
  <c r="G34" i="17"/>
  <c r="C39" i="23"/>
  <c r="E40" i="23"/>
  <c r="C40" i="23" s="1"/>
  <c r="H33" i="23"/>
  <c r="F34" i="17"/>
  <c r="H25" i="21"/>
  <c r="F33" i="21"/>
  <c r="H24" i="21"/>
  <c r="H24" i="18"/>
  <c r="G33" i="18"/>
  <c r="H32" i="18"/>
  <c r="H28" i="18"/>
  <c r="C40" i="17"/>
  <c r="F34" i="16"/>
  <c r="H26" i="16"/>
  <c r="G34" i="16"/>
  <c r="H25" i="16"/>
  <c r="H27" i="16"/>
  <c r="H24" i="15"/>
  <c r="G33" i="15"/>
  <c r="H27" i="15"/>
  <c r="F33" i="15"/>
  <c r="H25" i="14"/>
  <c r="F34" i="14"/>
  <c r="H30" i="14"/>
  <c r="G34" i="14"/>
  <c r="H26" i="14"/>
  <c r="H34" i="17" l="1"/>
  <c r="C40" i="16"/>
  <c r="H33" i="15"/>
  <c r="C39" i="13"/>
  <c r="H33" i="13"/>
  <c r="H33" i="21"/>
  <c r="E40" i="21"/>
  <c r="C40" i="21" s="1"/>
  <c r="H33" i="18"/>
  <c r="E42" i="14"/>
  <c r="C42" i="14" s="1"/>
  <c r="C39" i="18"/>
  <c r="E40" i="18"/>
  <c r="C40" i="18" s="1"/>
  <c r="H34" i="16"/>
  <c r="C39" i="15"/>
  <c r="E40" i="15"/>
  <c r="C40" i="15" s="1"/>
  <c r="H34" i="14"/>
  <c r="E34" i="12"/>
  <c r="M25" i="12" l="1"/>
  <c r="F28" i="12" s="1"/>
  <c r="N25" i="12"/>
  <c r="G28" i="12" s="1"/>
  <c r="E34" i="11"/>
  <c r="M25" i="11" l="1"/>
  <c r="N25" i="11"/>
  <c r="G30" i="12"/>
  <c r="G29" i="12"/>
  <c r="G27" i="12"/>
  <c r="G26" i="12"/>
  <c r="G33" i="12"/>
  <c r="G31" i="12"/>
  <c r="G25" i="12"/>
  <c r="F33" i="12"/>
  <c r="F31" i="12"/>
  <c r="F25" i="12"/>
  <c r="F26" i="12"/>
  <c r="F30" i="12"/>
  <c r="F29" i="12"/>
  <c r="F27" i="12"/>
  <c r="H29" i="12" l="1"/>
  <c r="H27" i="12"/>
  <c r="H30" i="12"/>
  <c r="E40" i="12"/>
  <c r="E42" i="12" s="1"/>
  <c r="C42" i="12" s="1"/>
  <c r="E38" i="12"/>
  <c r="C38" i="12" s="1"/>
  <c r="H33" i="12"/>
  <c r="H31" i="12"/>
  <c r="G34" i="12"/>
  <c r="H28" i="12"/>
  <c r="H26" i="12"/>
  <c r="G31" i="11"/>
  <c r="G29" i="11"/>
  <c r="G27" i="11"/>
  <c r="G25" i="11"/>
  <c r="G26" i="11"/>
  <c r="G30" i="11"/>
  <c r="G33" i="11"/>
  <c r="F31" i="11"/>
  <c r="F29" i="11"/>
  <c r="F27" i="11"/>
  <c r="F25" i="11"/>
  <c r="F33" i="11"/>
  <c r="F26" i="11"/>
  <c r="F30" i="11"/>
  <c r="H25" i="12"/>
  <c r="F34" i="12"/>
  <c r="E33" i="10"/>
  <c r="N24" i="10" l="1"/>
  <c r="G27" i="10" s="1"/>
  <c r="M24" i="10"/>
  <c r="F27" i="10" s="1"/>
  <c r="E40" i="11"/>
  <c r="E38" i="11"/>
  <c r="C38" i="11" s="1"/>
  <c r="C40" i="12"/>
  <c r="H34" i="12"/>
  <c r="H28" i="11"/>
  <c r="H30" i="11"/>
  <c r="H29" i="11"/>
  <c r="H33" i="11"/>
  <c r="F34" i="11"/>
  <c r="H25" i="11"/>
  <c r="G34" i="11"/>
  <c r="H31" i="11"/>
  <c r="H27" i="11"/>
  <c r="H26" i="11"/>
  <c r="E34" i="9"/>
  <c r="E35" i="8"/>
  <c r="E33" i="62"/>
  <c r="E34" i="6"/>
  <c r="E34" i="5"/>
  <c r="M24" i="62" l="1"/>
  <c r="N24" i="62"/>
  <c r="N24" i="7"/>
  <c r="M24" i="7"/>
  <c r="M25" i="8"/>
  <c r="N25" i="8"/>
  <c r="M25" i="6"/>
  <c r="F28" i="6" s="1"/>
  <c r="N25" i="6"/>
  <c r="G28" i="6" s="1"/>
  <c r="M25" i="9"/>
  <c r="F33" i="9" s="1"/>
  <c r="N25" i="9"/>
  <c r="N25" i="5"/>
  <c r="G28" i="5" s="1"/>
  <c r="M25" i="5"/>
  <c r="F28" i="5" s="1"/>
  <c r="G30" i="10"/>
  <c r="G28" i="10"/>
  <c r="G26" i="10"/>
  <c r="G24" i="10"/>
  <c r="G29" i="10"/>
  <c r="G25" i="10"/>
  <c r="G32" i="10"/>
  <c r="F32" i="10"/>
  <c r="F29" i="10"/>
  <c r="F25" i="10"/>
  <c r="F28" i="10"/>
  <c r="F30" i="10"/>
  <c r="F26" i="10"/>
  <c r="H26" i="10" s="1"/>
  <c r="F24" i="10"/>
  <c r="H34" i="11"/>
  <c r="E42" i="11"/>
  <c r="C42" i="11" s="1"/>
  <c r="C40" i="11"/>
  <c r="E39" i="10" l="1"/>
  <c r="E37" i="10"/>
  <c r="H27" i="10"/>
  <c r="H28" i="10"/>
  <c r="H32" i="10"/>
  <c r="H29" i="10"/>
  <c r="H30" i="10"/>
  <c r="H25" i="10"/>
  <c r="F31" i="7"/>
  <c r="F29" i="7"/>
  <c r="F27" i="7"/>
  <c r="F24" i="7"/>
  <c r="F30" i="7"/>
  <c r="F25" i="7"/>
  <c r="F33" i="7"/>
  <c r="F28" i="7"/>
  <c r="G31" i="6"/>
  <c r="G29" i="6"/>
  <c r="G27" i="6"/>
  <c r="G25" i="6"/>
  <c r="G30" i="6"/>
  <c r="G26" i="6"/>
  <c r="G33" i="6"/>
  <c r="G31" i="9"/>
  <c r="G29" i="9"/>
  <c r="G27" i="9"/>
  <c r="G25" i="9"/>
  <c r="G28" i="9"/>
  <c r="G30" i="9"/>
  <c r="G26" i="9"/>
  <c r="G33" i="9"/>
  <c r="G32" i="62"/>
  <c r="G30" i="62"/>
  <c r="G28" i="62"/>
  <c r="G26" i="62"/>
  <c r="G24" i="62"/>
  <c r="G29" i="62"/>
  <c r="G25" i="62"/>
  <c r="F31" i="6"/>
  <c r="F29" i="6"/>
  <c r="H29" i="6" s="1"/>
  <c r="F27" i="6"/>
  <c r="F25" i="6"/>
  <c r="F30" i="6"/>
  <c r="H30" i="6" s="1"/>
  <c r="F26" i="6"/>
  <c r="H26" i="6" s="1"/>
  <c r="F33" i="6"/>
  <c r="H33" i="6" s="1"/>
  <c r="H28" i="6"/>
  <c r="F31" i="9"/>
  <c r="H31" i="9" s="1"/>
  <c r="F29" i="9"/>
  <c r="H29" i="9" s="1"/>
  <c r="F27" i="9"/>
  <c r="H27" i="9" s="1"/>
  <c r="F25" i="9"/>
  <c r="F30" i="9"/>
  <c r="F26" i="9"/>
  <c r="F28" i="9"/>
  <c r="F30" i="62"/>
  <c r="F28" i="62"/>
  <c r="F26" i="62"/>
  <c r="F24" i="62"/>
  <c r="F32" i="62"/>
  <c r="F29" i="62"/>
  <c r="F25" i="62"/>
  <c r="G33" i="5"/>
  <c r="G29" i="5"/>
  <c r="G27" i="5"/>
  <c r="G25" i="5"/>
  <c r="G31" i="5"/>
  <c r="G30" i="5"/>
  <c r="G26" i="5"/>
  <c r="F34" i="8"/>
  <c r="F30" i="8"/>
  <c r="F27" i="8"/>
  <c r="F25" i="8"/>
  <c r="F31" i="8"/>
  <c r="F26" i="8"/>
  <c r="F32" i="8"/>
  <c r="F29" i="8"/>
  <c r="G31" i="7"/>
  <c r="G29" i="7"/>
  <c r="G27" i="7"/>
  <c r="H27" i="7" s="1"/>
  <c r="G24" i="7"/>
  <c r="G28" i="7"/>
  <c r="G30" i="7"/>
  <c r="G25" i="7"/>
  <c r="H25" i="7" s="1"/>
  <c r="G33" i="7"/>
  <c r="F33" i="5"/>
  <c r="H33" i="5" s="1"/>
  <c r="F29" i="5"/>
  <c r="F27" i="5"/>
  <c r="F25" i="5"/>
  <c r="F30" i="5"/>
  <c r="F26" i="5"/>
  <c r="F31" i="5"/>
  <c r="H28" i="5"/>
  <c r="G34" i="8"/>
  <c r="G30" i="8"/>
  <c r="H30" i="8" s="1"/>
  <c r="G27" i="8"/>
  <c r="G25" i="8"/>
  <c r="G29" i="8"/>
  <c r="G31" i="8"/>
  <c r="G26" i="8"/>
  <c r="G32" i="8"/>
  <c r="C37" i="10"/>
  <c r="C39" i="10"/>
  <c r="H27" i="6"/>
  <c r="H24" i="10"/>
  <c r="F33" i="10"/>
  <c r="G33" i="10"/>
  <c r="H27" i="62"/>
  <c r="E34" i="4"/>
  <c r="E34" i="2"/>
  <c r="C38" i="1"/>
  <c r="H32" i="62" l="1"/>
  <c r="E39" i="62"/>
  <c r="C39" i="62" s="1"/>
  <c r="E37" i="62"/>
  <c r="C37" i="62" s="1"/>
  <c r="H25" i="62"/>
  <c r="N25" i="4"/>
  <c r="G28" i="4" s="1"/>
  <c r="M25" i="4"/>
  <c r="F28" i="4" s="1"/>
  <c r="E38" i="5"/>
  <c r="E40" i="5"/>
  <c r="N25" i="2"/>
  <c r="G28" i="2" s="1"/>
  <c r="M25" i="2"/>
  <c r="E40" i="9"/>
  <c r="E38" i="9"/>
  <c r="C38" i="9" s="1"/>
  <c r="H26" i="9"/>
  <c r="H25" i="8"/>
  <c r="E41" i="8"/>
  <c r="C41" i="8" s="1"/>
  <c r="E39" i="8"/>
  <c r="C39" i="8" s="1"/>
  <c r="H27" i="8"/>
  <c r="E40" i="7"/>
  <c r="C40" i="7" s="1"/>
  <c r="E38" i="7"/>
  <c r="E40" i="6"/>
  <c r="C40" i="6" s="1"/>
  <c r="H25" i="6"/>
  <c r="E38" i="6"/>
  <c r="H31" i="6"/>
  <c r="H26" i="5"/>
  <c r="H27" i="5"/>
  <c r="H29" i="5"/>
  <c r="H30" i="5"/>
  <c r="H30" i="62"/>
  <c r="H30" i="9"/>
  <c r="H33" i="9"/>
  <c r="G35" i="8"/>
  <c r="F35" i="8"/>
  <c r="H31" i="5"/>
  <c r="H33" i="7"/>
  <c r="H30" i="7"/>
  <c r="H31" i="8"/>
  <c r="H28" i="62"/>
  <c r="H26" i="62"/>
  <c r="H29" i="8"/>
  <c r="H28" i="9"/>
  <c r="G33" i="62"/>
  <c r="H33" i="10"/>
  <c r="H26" i="8"/>
  <c r="H34" i="8"/>
  <c r="E43" i="8"/>
  <c r="C43" i="8" s="1"/>
  <c r="H32" i="8"/>
  <c r="H31" i="7"/>
  <c r="H29" i="7"/>
  <c r="H28" i="7"/>
  <c r="G34" i="6"/>
  <c r="C38" i="5"/>
  <c r="F34" i="5"/>
  <c r="G34" i="7"/>
  <c r="H29" i="62"/>
  <c r="E40" i="10"/>
  <c r="C40" i="10" s="1"/>
  <c r="H25" i="9"/>
  <c r="F34" i="9"/>
  <c r="G34" i="9"/>
  <c r="C38" i="6"/>
  <c r="F34" i="6"/>
  <c r="H24" i="62"/>
  <c r="C38" i="7"/>
  <c r="F34" i="7"/>
  <c r="H24" i="7"/>
  <c r="H25" i="5"/>
  <c r="F33" i="62"/>
  <c r="G34" i="5"/>
  <c r="E33" i="64"/>
  <c r="E33" i="1"/>
  <c r="E40" i="62" l="1"/>
  <c r="C40" i="62" s="1"/>
  <c r="M24" i="64"/>
  <c r="N24" i="64"/>
  <c r="H34" i="6"/>
  <c r="F33" i="2"/>
  <c r="F28" i="2"/>
  <c r="N24" i="1"/>
  <c r="M24" i="1"/>
  <c r="H34" i="5"/>
  <c r="H34" i="9"/>
  <c r="E41" i="7"/>
  <c r="C41" i="7" s="1"/>
  <c r="H35" i="8"/>
  <c r="H34" i="7"/>
  <c r="E42" i="6"/>
  <c r="C42" i="6" s="1"/>
  <c r="F31" i="4"/>
  <c r="F29" i="4"/>
  <c r="F27" i="4"/>
  <c r="F25" i="4"/>
  <c r="F30" i="4"/>
  <c r="F26" i="4"/>
  <c r="F33" i="4"/>
  <c r="F31" i="2"/>
  <c r="F29" i="2"/>
  <c r="F27" i="2"/>
  <c r="F25" i="2"/>
  <c r="F30" i="2"/>
  <c r="F26" i="2"/>
  <c r="G31" i="4"/>
  <c r="G29" i="4"/>
  <c r="G27" i="4"/>
  <c r="G25" i="4"/>
  <c r="G33" i="4"/>
  <c r="G30" i="4"/>
  <c r="G26" i="4"/>
  <c r="G31" i="2"/>
  <c r="G29" i="2"/>
  <c r="G27" i="2"/>
  <c r="G25" i="2"/>
  <c r="G33" i="2"/>
  <c r="G30" i="2"/>
  <c r="G26" i="2"/>
  <c r="H33" i="62"/>
  <c r="E42" i="9"/>
  <c r="C42" i="9" s="1"/>
  <c r="C40" i="9"/>
  <c r="C40" i="5"/>
  <c r="E42" i="5"/>
  <c r="C42" i="5" s="1"/>
  <c r="E40" i="4" l="1"/>
  <c r="C40" i="4" s="1"/>
  <c r="E38" i="4"/>
  <c r="C38" i="4" s="1"/>
  <c r="E40" i="2"/>
  <c r="C40" i="2" s="1"/>
  <c r="H26" i="2"/>
  <c r="E38" i="2"/>
  <c r="C38" i="2" s="1"/>
  <c r="H31" i="2"/>
  <c r="H30" i="2"/>
  <c r="H27" i="4"/>
  <c r="H33" i="2"/>
  <c r="H30" i="4"/>
  <c r="H31" i="4"/>
  <c r="H29" i="4"/>
  <c r="G34" i="4"/>
  <c r="H28" i="4"/>
  <c r="F34" i="4"/>
  <c r="H28" i="2"/>
  <c r="H25" i="2"/>
  <c r="H27" i="2"/>
  <c r="G34" i="2"/>
  <c r="H29" i="2"/>
  <c r="F30" i="64"/>
  <c r="F28" i="64"/>
  <c r="F26" i="64"/>
  <c r="F24" i="64"/>
  <c r="F32" i="64"/>
  <c r="F29" i="64"/>
  <c r="F25" i="64"/>
  <c r="G30" i="64"/>
  <c r="G28" i="64"/>
  <c r="G26" i="64"/>
  <c r="G24" i="64"/>
  <c r="G32" i="64"/>
  <c r="G29" i="64"/>
  <c r="H27" i="64"/>
  <c r="G25" i="64"/>
  <c r="F32" i="1"/>
  <c r="F29" i="1"/>
  <c r="F25" i="1"/>
  <c r="F28" i="1"/>
  <c r="F30" i="1"/>
  <c r="F26" i="1"/>
  <c r="F24" i="1"/>
  <c r="G30" i="1"/>
  <c r="G28" i="1"/>
  <c r="G26" i="1"/>
  <c r="G24" i="1"/>
  <c r="G29" i="1"/>
  <c r="G25" i="1"/>
  <c r="G32" i="1"/>
  <c r="H25" i="4"/>
  <c r="H33" i="4"/>
  <c r="H26" i="4"/>
  <c r="F34" i="2"/>
  <c r="E39" i="64" l="1"/>
  <c r="C39" i="64" s="1"/>
  <c r="E37" i="64"/>
  <c r="C37" i="64" s="1"/>
  <c r="H26" i="64"/>
  <c r="E39" i="1"/>
  <c r="E41" i="1" s="1"/>
  <c r="C41" i="1" s="1"/>
  <c r="E42" i="4"/>
  <c r="C42" i="4" s="1"/>
  <c r="E37" i="1"/>
  <c r="H26" i="1"/>
  <c r="H27" i="1"/>
  <c r="E42" i="2"/>
  <c r="C42" i="2" s="1"/>
  <c r="H29" i="64"/>
  <c r="H30" i="64"/>
  <c r="H34" i="2"/>
  <c r="H25" i="64"/>
  <c r="H34" i="4"/>
  <c r="H30" i="1"/>
  <c r="G33" i="1"/>
  <c r="H28" i="1"/>
  <c r="H25" i="1"/>
  <c r="H29" i="1"/>
  <c r="H28" i="64"/>
  <c r="H24" i="1"/>
  <c r="F33" i="1"/>
  <c r="H32" i="1"/>
  <c r="H32" i="64"/>
  <c r="G33" i="64"/>
  <c r="F33" i="64"/>
  <c r="H24" i="64"/>
  <c r="E33" i="25"/>
  <c r="N24" i="25" l="1"/>
  <c r="G27" i="25" s="1"/>
  <c r="M24" i="25"/>
  <c r="F27" i="25" s="1"/>
  <c r="E40" i="64"/>
  <c r="C40" i="64" s="1"/>
  <c r="C39" i="1"/>
  <c r="C37" i="1"/>
  <c r="H33" i="1"/>
  <c r="H33" i="64"/>
  <c r="F30" i="25" l="1"/>
  <c r="F28" i="25"/>
  <c r="F26" i="25"/>
  <c r="F24" i="25"/>
  <c r="F29" i="25"/>
  <c r="F25" i="25"/>
  <c r="F32" i="25"/>
  <c r="E37" i="25" l="1"/>
  <c r="C37" i="25" s="1"/>
  <c r="F33" i="25"/>
  <c r="E33" i="3"/>
  <c r="O24" i="3" l="1"/>
  <c r="N24" i="3"/>
  <c r="F27" i="3" s="1"/>
  <c r="F30" i="3"/>
  <c r="F26" i="3"/>
  <c r="F24" i="3"/>
  <c r="F29" i="3"/>
  <c r="F25" i="3"/>
  <c r="F32" i="3"/>
  <c r="G24" i="3" l="1"/>
  <c r="G27" i="3"/>
  <c r="G26" i="3"/>
  <c r="G25" i="3"/>
  <c r="G33" i="3" s="1"/>
  <c r="H28" i="3"/>
  <c r="G29" i="3"/>
  <c r="H29" i="3" s="1"/>
  <c r="G30" i="3"/>
  <c r="H30" i="3"/>
  <c r="G32" i="3"/>
  <c r="H32" i="3" s="1"/>
  <c r="H27" i="3"/>
  <c r="E37" i="3"/>
  <c r="C37" i="3" s="1"/>
  <c r="H25" i="3"/>
  <c r="H26" i="3"/>
  <c r="H24" i="3"/>
  <c r="F33" i="3"/>
  <c r="L12" i="11"/>
  <c r="E39" i="3" l="1"/>
  <c r="E40" i="3" s="1"/>
  <c r="C40" i="3" s="1"/>
  <c r="H33" i="3"/>
  <c r="G32" i="25"/>
  <c r="H32" i="25" s="1"/>
  <c r="G28" i="25"/>
  <c r="H28" i="25" s="1"/>
  <c r="G26" i="25"/>
  <c r="H26" i="25" s="1"/>
  <c r="G29" i="25"/>
  <c r="H29" i="25" s="1"/>
  <c r="G30" i="25"/>
  <c r="H30" i="25"/>
  <c r="G25" i="25"/>
  <c r="H25" i="25" s="1"/>
  <c r="H27" i="25"/>
  <c r="G24" i="25"/>
  <c r="H24" i="25" s="1"/>
  <c r="C39" i="3" l="1"/>
  <c r="H33" i="25"/>
  <c r="G33" i="25"/>
  <c r="E39" i="25"/>
  <c r="E40" i="25" l="1"/>
  <c r="C40" i="25" s="1"/>
  <c r="C39" i="25"/>
</calcChain>
</file>

<file path=xl/comments1.xml><?xml version="1.0" encoding="utf-8"?>
<comments xmlns="http://schemas.openxmlformats.org/spreadsheetml/2006/main">
  <authors>
    <author>Автор</author>
  </authors>
  <commentList>
    <comment ref="G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вноситься в акт </t>
        </r>
      </text>
    </comment>
  </commentList>
</comments>
</file>

<file path=xl/sharedStrings.xml><?xml version="1.0" encoding="utf-8"?>
<sst xmlns="http://schemas.openxmlformats.org/spreadsheetml/2006/main" count="5308" uniqueCount="330">
  <si>
    <t>• Адрес МКД</t>
  </si>
  <si>
    <t>• Год постройки</t>
  </si>
  <si>
    <t>• Этажность</t>
  </si>
  <si>
    <t>• Количество квартир</t>
  </si>
  <si>
    <t>• Общая площадь дома с учетом помещений
общего пользования</t>
  </si>
  <si>
    <t>• Общая площадь жилых помещений</t>
  </si>
  <si>
    <t>• Общая площадь нежилых помещений</t>
  </si>
  <si>
    <t>• Площадь придомовой территории,
входящей в состав общего имущества МКД</t>
  </si>
  <si>
    <t>Содержание общего
имущества МКД (руб.)</t>
  </si>
  <si>
    <t>Текущий ремонт 
общего имущества 
МКД (руб.)</t>
  </si>
  <si>
    <t>Я. И. Егоров</t>
  </si>
  <si>
    <t>Айвазовского 16</t>
  </si>
  <si>
    <t>660,6 кв. м.</t>
  </si>
  <si>
    <t>0 кв. м.</t>
  </si>
  <si>
    <t>931,9 кв. м. - грунт;
180,2 кв. м. - асфальт</t>
  </si>
  <si>
    <t>1. Начислено</t>
  </si>
  <si>
    <t>2. Оплачено</t>
  </si>
  <si>
    <t>Айвазовского 18</t>
  </si>
  <si>
    <t>1356 кв. м. - грунт</t>
  </si>
  <si>
    <t>682,5 кв. м.</t>
  </si>
  <si>
    <t>Айвазовского 20</t>
  </si>
  <si>
    <t>399,7 кв. м.</t>
  </si>
  <si>
    <t>689,8 кв. м. - грунт;
108,2 кв. м. - асфальт</t>
  </si>
  <si>
    <t>Волна Революции 36</t>
  </si>
  <si>
    <t>Грессовская 1</t>
  </si>
  <si>
    <t>991 кв. м.</t>
  </si>
  <si>
    <t>1102,5 кв. м. - грунт;
530 кв. м. - асфальт</t>
  </si>
  <si>
    <t>Грессовская 3</t>
  </si>
  <si>
    <t>1059,6 кв. м.</t>
  </si>
  <si>
    <t>1465,1 кв. м. - грунт;
160 кв. м. - асфальт</t>
  </si>
  <si>
    <t>Грессовская 7</t>
  </si>
  <si>
    <t>567,9 кв. м.</t>
  </si>
  <si>
    <t>37,3 кв. м.</t>
  </si>
  <si>
    <t>1991,5 кв. м. - грунт;
213 кв. м. - асфальт</t>
  </si>
  <si>
    <t>Грессовская 15</t>
  </si>
  <si>
    <t>586 кв. м.</t>
  </si>
  <si>
    <t>2748,8 кв. м. - грунт;
150 кв. м. - асфальт</t>
  </si>
  <si>
    <t>Грессовская 17</t>
  </si>
  <si>
    <t>567,1 кв. м.</t>
  </si>
  <si>
    <t>2711,2 кв. м. - грунт;
150 кв. м. - асфальт</t>
  </si>
  <si>
    <t>Грессовская 19</t>
  </si>
  <si>
    <t>1090,1 кв. м.</t>
  </si>
  <si>
    <t>735,2 кв. м. - грунт;
406,3 кв. м. - асфальт</t>
  </si>
  <si>
    <t>Демократическая 18</t>
  </si>
  <si>
    <t>393,2 кв. м.</t>
  </si>
  <si>
    <t>1237,3 кв. м. - грунт;
130 кв. м. - асфальт</t>
  </si>
  <si>
    <t>Демократическая 20</t>
  </si>
  <si>
    <t>387,4 кв. м.</t>
  </si>
  <si>
    <t>589,1 кв. м. - грунт;
100 кв. м. - асфальт</t>
  </si>
  <si>
    <t>Демократическая 22</t>
  </si>
  <si>
    <t>680,7 кв. м.</t>
  </si>
  <si>
    <t>891,8 кв. м. - грунт;
130 кв. м. - асфальт</t>
  </si>
  <si>
    <t>Демократическая 24</t>
  </si>
  <si>
    <t>680,6 кв. м.</t>
  </si>
  <si>
    <t>671,6 кв. м. - грунт;
187 кв. м. - асфальт</t>
  </si>
  <si>
    <t>Землячки 13</t>
  </si>
  <si>
    <t>399,1 кв. м.</t>
  </si>
  <si>
    <t>Землячки 15</t>
  </si>
  <si>
    <t>663,2 кв. м.</t>
  </si>
  <si>
    <t>507,5 кв. м. - грунт;
145 кв. м. - асфальт</t>
  </si>
  <si>
    <t>Землячки 22</t>
  </si>
  <si>
    <t>661,2кв. м.</t>
  </si>
  <si>
    <t>79,7 кв. м.</t>
  </si>
  <si>
    <t>2669,8 кв. м. - грунт</t>
  </si>
  <si>
    <t>Землячки 24</t>
  </si>
  <si>
    <t>680 кв. м.</t>
  </si>
  <si>
    <t>29,2 кв. м.</t>
  </si>
  <si>
    <t>875,6 кв. м. - грунт;
168,5 - асфальт.</t>
  </si>
  <si>
    <t>3736,4 кв. м.</t>
  </si>
  <si>
    <t>772 кв. м. - грунт;
1263 - асфальт.</t>
  </si>
  <si>
    <t>3681,5 кв. м.</t>
  </si>
  <si>
    <t>1520 кв. м. - грунт;
412 - асфальт.</t>
  </si>
  <si>
    <t>Либкнехта 11</t>
  </si>
  <si>
    <t>1252,2 кв. м.</t>
  </si>
  <si>
    <t>1820,6 кв. м. - грунт;
51,6 кв. м. - асфальт</t>
  </si>
  <si>
    <t>К. Либкнехта 11а</t>
  </si>
  <si>
    <t>744,5 кв. м.</t>
  </si>
  <si>
    <t>97,6 кв. м.</t>
  </si>
  <si>
    <t>494 кв. м. - грунт;
381 - асфальт.</t>
  </si>
  <si>
    <t>К. Либкнехта 12</t>
  </si>
  <si>
    <t>619,3 кв. м.</t>
  </si>
  <si>
    <t>К. Либкнехта 17</t>
  </si>
  <si>
    <t>443,3 кв. м.</t>
  </si>
  <si>
    <t>Карла Маркса 60</t>
  </si>
  <si>
    <t>763,2 кв. м.</t>
  </si>
  <si>
    <t>53,9 кв. м.</t>
  </si>
  <si>
    <t>899,8 кв. м. - грунт;
190 кв. м. - асфальт</t>
  </si>
  <si>
    <t>Карла Маркса 62</t>
  </si>
  <si>
    <t>443,5 кв. м.</t>
  </si>
  <si>
    <t>2100,3 кв. м. - грунт;
140 кв. м. - асфальт</t>
  </si>
  <si>
    <t>Краснофлотская 19</t>
  </si>
  <si>
    <t>650,8 кв. м.</t>
  </si>
  <si>
    <t>1481,2 кв. м. - грунт;
227 кв. м. - асфальт</t>
  </si>
  <si>
    <t>Краснофлотская 21</t>
  </si>
  <si>
    <t>481,8 кв. м.</t>
  </si>
  <si>
    <t>924,7 кв. м. - грунт;
103,2 кв. м. - асфальт</t>
  </si>
  <si>
    <t>Пичугина 1</t>
  </si>
  <si>
    <t>668,5 кв. м.</t>
  </si>
  <si>
    <t>965,8 кв. м. - грунт;
240 кв. м. - асфальт</t>
  </si>
  <si>
    <t>Пичугина 3</t>
  </si>
  <si>
    <t>674,6 кв. м.</t>
  </si>
  <si>
    <t>911,2 кв. м. - грунт;
200,8 кв. м. - асфальт</t>
  </si>
  <si>
    <t>Пичугина 5</t>
  </si>
  <si>
    <t>397,3 кв. м.</t>
  </si>
  <si>
    <t>585,7 кв. м. - грунт;
200 кв. м. - асфальт</t>
  </si>
  <si>
    <t>Пичугина 9</t>
  </si>
  <si>
    <t>348,3 кв. м.</t>
  </si>
  <si>
    <t>42,8 кв. м.</t>
  </si>
  <si>
    <t>1082,5 кв. м. - грунт;
193,3 кв. м. - асфальт</t>
  </si>
  <si>
    <t>Пичугина 9а</t>
  </si>
  <si>
    <t>640,9 кв. м.</t>
  </si>
  <si>
    <t>0 кв. м. - грунт;
0 кв. м. - асфальт</t>
  </si>
  <si>
    <t>Пичугина 10</t>
  </si>
  <si>
    <t>471,4 кв. м.</t>
  </si>
  <si>
    <t>600,9 кв. м. - грунт</t>
  </si>
  <si>
    <t>Пичугина 11</t>
  </si>
  <si>
    <t>899,9 кв. м. - грунт;
182 кв. м. - асфальт</t>
  </si>
  <si>
    <t>689 кв. м.</t>
  </si>
  <si>
    <t>Пичугина 13</t>
  </si>
  <si>
    <t>689,5 кв. м.</t>
  </si>
  <si>
    <t>1145,5 кв. м. - грунт;
182 кв. м. - асфальт</t>
  </si>
  <si>
    <t>Пичугина 15</t>
  </si>
  <si>
    <t>623,8 кв. м.</t>
  </si>
  <si>
    <t>1187,7 кв. м. - грунт;
130 кв. м. - асфальт</t>
  </si>
  <si>
    <t>Пичугина 17</t>
  </si>
  <si>
    <t>382,6 кв. м.</t>
  </si>
  <si>
    <t>Пичугина 19</t>
  </si>
  <si>
    <t>676,1 кв. м.</t>
  </si>
  <si>
    <t>751,5 кв. м. - грунт;
131,6 кв. м. - асфальт</t>
  </si>
  <si>
    <t>1935,8 кв. м. - грунт;
131,6 кв. м. - асфальт</t>
  </si>
  <si>
    <t>Пичугина 20</t>
  </si>
  <si>
    <t>481,1 кв. м.</t>
  </si>
  <si>
    <t>Пичугина 21</t>
  </si>
  <si>
    <t>400,1 кв. м.</t>
  </si>
  <si>
    <t>Пичугина 22</t>
  </si>
  <si>
    <t>483 кв. м.</t>
  </si>
  <si>
    <t>1180,8 кв. м. - грунт</t>
  </si>
  <si>
    <t>Пичугина 23</t>
  </si>
  <si>
    <t>687,6 кв. м.</t>
  </si>
  <si>
    <t>1439 кв. м. - грунт;
130 кв. м. - асфальт</t>
  </si>
  <si>
    <t>Пичугина 24</t>
  </si>
  <si>
    <t>485,8 кв. м.</t>
  </si>
  <si>
    <t>Розы Люксембург 2</t>
  </si>
  <si>
    <t>478 кв. м.</t>
  </si>
  <si>
    <t>Розы Люксембург 2а</t>
  </si>
  <si>
    <t>Северная 4</t>
  </si>
  <si>
    <t>622 кв. м.</t>
  </si>
  <si>
    <t>916,8 кв. м. - грунт</t>
  </si>
  <si>
    <t>Седова 4а</t>
  </si>
  <si>
    <t>921,3 кв. м.</t>
  </si>
  <si>
    <t>Седова 8а</t>
  </si>
  <si>
    <t>597,9 кв. м.</t>
  </si>
  <si>
    <t>1543,9 кв. м. - грунт;
598,2 кв. м. - асфальт</t>
  </si>
  <si>
    <t>331,7 кв. м. - грунт;
1312,5 кв. м. - асфальт</t>
  </si>
  <si>
    <t>Седова 15</t>
  </si>
  <si>
    <t>1277,5 кв. м.</t>
  </si>
  <si>
    <t>2980,3 кв. м. - грунт;
1923,5 кв. м. - асфальт</t>
  </si>
  <si>
    <t>Седова 15а</t>
  </si>
  <si>
    <t>1939,8 кв. м.</t>
  </si>
  <si>
    <t>1151,2 кв. м. - грунт;
703 кв. м. - асфальт</t>
  </si>
  <si>
    <t>Седова 21</t>
  </si>
  <si>
    <t>2146,9 кв. м.</t>
  </si>
  <si>
    <t>1173,5 кв. м. - грунт;
528,6 кв. м. - асфальт</t>
  </si>
  <si>
    <t>Седова 23</t>
  </si>
  <si>
    <t>1500 кв. м.</t>
  </si>
  <si>
    <t>Седова 25</t>
  </si>
  <si>
    <t>1306,8 кв. м.</t>
  </si>
  <si>
    <t>Степана Разина 28</t>
  </si>
  <si>
    <t>987,2 кв. м.</t>
  </si>
  <si>
    <t>1587,7 кв. м. - грунт;
576 кв. м. - асфальт</t>
  </si>
  <si>
    <t>Трудовая 7а</t>
  </si>
  <si>
    <t>416,9 кв. м.</t>
  </si>
  <si>
    <t>747,6 кв. м. - грунт</t>
  </si>
  <si>
    <t>Трудовая 36а</t>
  </si>
  <si>
    <t>577,6 кв. м. - грунт</t>
  </si>
  <si>
    <t>Трудовая 40а</t>
  </si>
  <si>
    <t>345,5 кв. м.</t>
  </si>
  <si>
    <t>933,2 кв. м. - грунт</t>
  </si>
  <si>
    <t>Щорса 16</t>
  </si>
  <si>
    <t>488,9 кв. м.</t>
  </si>
  <si>
    <t>Директор ООО "Партнер-1"</t>
  </si>
  <si>
    <t>Главный бухгалтер ООО "Партнер-1"</t>
  </si>
  <si>
    <t>Экономист ООО "Партнер-1"</t>
  </si>
  <si>
    <t>Инженер по ремонту ООО "Партнер-1"</t>
  </si>
  <si>
    <t>Транспортные расходы при санитарной очистке территорий</t>
  </si>
  <si>
    <t>Техническое обслуживание внутридомового газового 
оборудования</t>
  </si>
  <si>
    <t>Рентабельность</t>
  </si>
  <si>
    <t>Плановые затраты (руб.)</t>
  </si>
  <si>
    <t>Фактические затраты (руб.)</t>
  </si>
  <si>
    <t>3.Выполнено</t>
  </si>
  <si>
    <t>Итого</t>
  </si>
  <si>
    <r>
      <rPr>
        <b/>
        <sz val="10"/>
        <color theme="1"/>
        <rFont val="Times New Roman"/>
        <family val="1"/>
        <charset val="204"/>
      </rPr>
      <t>Санитарное содержание лестничных клеток: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инвентарь.</t>
    </r>
  </si>
  <si>
    <r>
      <rPr>
        <b/>
        <sz val="10"/>
        <color theme="1"/>
        <rFont val="Times New Roman"/>
        <family val="1"/>
        <charset val="204"/>
      </rPr>
      <t>Содержание аварийно-диспетчерской службы: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</si>
  <si>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t>Обслуживание ОПУ тепловой энергии</t>
  </si>
  <si>
    <t>Трудовая 2а</t>
  </si>
  <si>
    <t>Трудовая 4а</t>
  </si>
  <si>
    <t>Виды работ и затрат</t>
  </si>
  <si>
    <t>периодичность выполнения работ и услуг</t>
  </si>
  <si>
    <t>единица измерения работы/       услуги</t>
  </si>
  <si>
    <t>стоимость выполненной работы/оказанной услуги</t>
  </si>
  <si>
    <t>согласно договора  управления МКД</t>
  </si>
  <si>
    <t>руб.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</si>
  <si>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</si>
  <si>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t xml:space="preserve">согласно договора  </t>
  </si>
  <si>
    <t>постоянно</t>
  </si>
  <si>
    <r>
      <rPr>
        <b/>
        <sz val="10"/>
        <color theme="1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color theme="1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</si>
  <si>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t xml:space="preserve">Текущий ремонт </t>
  </si>
  <si>
    <t>начислено всего</t>
  </si>
  <si>
    <t>Т. В. Павлова</t>
  </si>
  <si>
    <t>Н.Е. Горбатенко</t>
  </si>
  <si>
    <t>единица измерения работы/               услуги</t>
  </si>
  <si>
    <t>Приложение № 1</t>
  </si>
  <si>
    <t>Приложение № 4</t>
  </si>
  <si>
    <t>к протоколу №____общего собрания собственников</t>
  </si>
  <si>
    <t>К. Либкнехта 2/2Н</t>
  </si>
  <si>
    <t>388,1 кв. м.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</si>
  <si>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</si>
  <si>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                                                    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</si>
  <si>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     -амортизация;                                                                                         - транспортные расходы;                                                                        - затраты на канц. товары, телефонную связь, на орг. технику;                                                                                        - услуги банка, статистики;                                                                     - услуги информационно-вычислительного центра.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</si>
  <si>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                                                         -амортизация;                                                                                         - транспортные расходы;                                                                        - затраты на канц. товары, телефонную связь, на орг. технику;                                                                                        - услуги банка, статистики;                                                                     - услуги информационно-вычислительного центра.</t>
    </r>
  </si>
  <si>
    <t>Щорса 12</t>
  </si>
  <si>
    <t>563,9 кв. м.</t>
  </si>
  <si>
    <t>1356,8 кв. м. - грунт</t>
  </si>
  <si>
    <t>согласно договора  оказания услуг по содержанию и выполнению работ по ремонту общего имущества МКД</t>
  </si>
  <si>
    <t>круглосуточно</t>
  </si>
  <si>
    <t>612,6 кв. м</t>
  </si>
  <si>
    <t>Возврат за размещения имущества ОАО "Ростелеком"</t>
  </si>
  <si>
    <t>Разница                       (+) экономия, (-) долг</t>
  </si>
  <si>
    <t>634,5 кв. м</t>
  </si>
  <si>
    <t xml:space="preserve">круглосуточно </t>
  </si>
  <si>
    <t>375 кв. м</t>
  </si>
  <si>
    <t>1284,4 кв. м</t>
  </si>
  <si>
    <t>885 кв. м</t>
  </si>
  <si>
    <t>975,3 кв. м</t>
  </si>
  <si>
    <t>481,2 кв. м</t>
  </si>
  <si>
    <t>538,2 кв. м</t>
  </si>
  <si>
    <t>531,5 кв. м</t>
  </si>
  <si>
    <t>1006,2 кв. м</t>
  </si>
  <si>
    <t>368,5 кв. м</t>
  </si>
  <si>
    <t>364,3 кв. м</t>
  </si>
  <si>
    <t>624,1 кв. м</t>
  </si>
  <si>
    <t>635,4 кв. м</t>
  </si>
  <si>
    <t>371,7 кв. м</t>
  </si>
  <si>
    <t>615,3 кв. м</t>
  </si>
  <si>
    <t>534,5 кв. м</t>
  </si>
  <si>
    <t>606,4 кв. м</t>
  </si>
  <si>
    <t>2709,2 кв. м</t>
  </si>
  <si>
    <t>2661,7 кв. м</t>
  </si>
  <si>
    <t>1086,6 кв. м</t>
  </si>
  <si>
    <t>561,4 кв. м</t>
  </si>
  <si>
    <t>624,9 кв. м</t>
  </si>
  <si>
    <t>393,3 кв. м</t>
  </si>
  <si>
    <t>642,7 кв. м</t>
  </si>
  <si>
    <t>405,4 кв. м</t>
  </si>
  <si>
    <t>601,6 кв. м</t>
  </si>
  <si>
    <t>433,2 кв. м</t>
  </si>
  <si>
    <t>623,9 кв. м</t>
  </si>
  <si>
    <t>622,1 кв. м</t>
  </si>
  <si>
    <t>373,9 кв. м</t>
  </si>
  <si>
    <t>281,5 кв. м</t>
  </si>
  <si>
    <t>640,9 кв. м</t>
  </si>
  <si>
    <t>425,1 кв. м</t>
  </si>
  <si>
    <t>537,2 кв. м</t>
  </si>
  <si>
    <t>480,3 кв. м</t>
  </si>
  <si>
    <t>575,5 кв. м</t>
  </si>
  <si>
    <t>315,8 кв. м</t>
  </si>
  <si>
    <t>627,8 кв. м</t>
  </si>
  <si>
    <t>434,6 кв. м</t>
  </si>
  <si>
    <t>376,1 кв. м</t>
  </si>
  <si>
    <t>638,7 кв. м</t>
  </si>
  <si>
    <t>437 кв. м</t>
  </si>
  <si>
    <t>437,1 кв. м</t>
  </si>
  <si>
    <t>435,5 кв. м</t>
  </si>
  <si>
    <t>611,6 кв. м</t>
  </si>
  <si>
    <t>848,3 кв. м</t>
  </si>
  <si>
    <t>549,5 кв. м</t>
  </si>
  <si>
    <t>1163,4 кв. м</t>
  </si>
  <si>
    <t>1736,8 кв. м</t>
  </si>
  <si>
    <t>1819 кв. м</t>
  </si>
  <si>
    <t>1387,1 кв. м</t>
  </si>
  <si>
    <t>1198,2 кв. м</t>
  </si>
  <si>
    <t>899,8 кв. м</t>
  </si>
  <si>
    <t>882,1 кв. м</t>
  </si>
  <si>
    <t>844,8 кв. м</t>
  </si>
  <si>
    <t>364,6 кв. м</t>
  </si>
  <si>
    <t>364,9 кв. м</t>
  </si>
  <si>
    <t>364,4 кв. м</t>
  </si>
  <si>
    <t>330 кв. м</t>
  </si>
  <si>
    <t>434,8 кв. м</t>
  </si>
  <si>
    <t>сод.жилья</t>
  </si>
  <si>
    <t>встроенные</t>
  </si>
  <si>
    <t>тек. ремонт</t>
  </si>
  <si>
    <t>543,2 кв. м.</t>
  </si>
  <si>
    <t>757,8 кв. м.</t>
  </si>
  <si>
    <t>269,4 кв. м.</t>
  </si>
  <si>
    <t>83,2 кв. м.</t>
  </si>
  <si>
    <t>162,4 кв. м.</t>
  </si>
  <si>
    <r>
      <t>4.Остаток на начало отчетного периода</t>
    </r>
    <r>
      <rPr>
        <sz val="8"/>
        <color theme="1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</si>
  <si>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r>
      <t>4.Остаток на конец отчетного периода</t>
    </r>
    <r>
      <rPr>
        <sz val="8"/>
        <color theme="1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</si>
  <si>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      -амортизация;                                                                                        - транспортные расходы;  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</si>
  <si>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t xml:space="preserve"> </t>
  </si>
  <si>
    <t>начислено содержание жилья</t>
  </si>
  <si>
    <t>факт содержание жилья</t>
  </si>
  <si>
    <t>Е.Н. Рожкова</t>
  </si>
  <si>
    <t>Либкнехта 1/2</t>
  </si>
  <si>
    <t>помещения МКД № 1/2Н по ул. Либкнехта, г. Новошахтинска</t>
  </si>
  <si>
    <t>помещения МКД № 2/2Н по ул. Либкнехта, г. Новошахтинска</t>
  </si>
  <si>
    <t>помещения МКД № 21 по ул. Седова, г. Новошахтинска</t>
  </si>
  <si>
    <t>_______________________________</t>
  </si>
  <si>
    <t>Валка деревьев</t>
  </si>
  <si>
    <t>по заявкам</t>
  </si>
  <si>
    <t>период с 01.07.2013 года по 31.12.2018 года</t>
  </si>
  <si>
    <t>ст-ть на 1 кв. м общей жилой  площади (руб. в мес.)  2018</t>
  </si>
  <si>
    <t>Переходящие остатки денежных средств на 01.01.2019 года</t>
  </si>
  <si>
    <t>от _______________________2019 г.</t>
  </si>
  <si>
    <t>по заявке</t>
  </si>
  <si>
    <r>
      <t>4.Остаток на начало отчетного периода</t>
    </r>
    <r>
      <rPr>
        <sz val="8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</si>
  <si>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r>
      <rPr>
        <b/>
        <sz val="10"/>
        <rFont val="Times New Roman"/>
        <family val="1"/>
        <charset val="204"/>
      </rPr>
      <t>Санитарное содержание лестничных клеток:</t>
    </r>
    <r>
      <rPr>
        <sz val="10"/>
        <rFont val="Times New Roman"/>
        <family val="1"/>
        <charset val="204"/>
      </rPr>
      <t xml:space="preserve">
- оплата труда рабочих;
- затраты на материалы, инвентарь.</t>
    </r>
  </si>
  <si>
    <r>
      <rPr>
        <b/>
        <sz val="10"/>
        <rFont val="Times New Roman"/>
        <family val="1"/>
        <charset val="204"/>
      </rPr>
      <t>Санитарное содержание придомовой территории:</t>
    </r>
    <r>
      <rPr>
        <sz val="10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</si>
  <si>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r>
      <rPr>
        <b/>
        <sz val="10"/>
        <rFont val="Times New Roman"/>
        <family val="1"/>
        <charset val="204"/>
      </rPr>
      <t>Содержание аварийно-диспетчерской службы:</t>
    </r>
    <r>
      <rPr>
        <sz val="10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</si>
  <si>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r>
      <rPr>
        <b/>
        <sz val="10"/>
        <rFont val="Times New Roman"/>
        <family val="1"/>
        <charset val="204"/>
      </rPr>
      <t>Общеэксплуатационные расходы:</t>
    </r>
    <r>
      <rPr>
        <sz val="10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                                                         -амортизация;                                                                                         - транспортные расходы;                                                                        - затраты на канц. товары, телефонную связь, на орг. технику;                                                                                        - услуги банка, статистики;                                                                     - услуги информационно-вычислительного центра.</t>
    </r>
  </si>
  <si>
    <r>
      <rPr>
        <b/>
        <sz val="10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</si>
  <si>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r>
      <t>4.Остаток на конец отчетного периода</t>
    </r>
    <r>
      <rPr>
        <sz val="8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</si>
  <si>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t>Ежегодный отчет  ООО "Партнер-1" о выполнении Договора о деятельности за отчетный период с 01.01.2019 г. по 31.12.2019 г.</t>
  </si>
  <si>
    <t>Отчет об оказанных услугах и выполненных работах по содержанию и текущему ремонту общего имущества в МКД за 2019 год</t>
  </si>
  <si>
    <t>ст-ть на 1 кв. м общей жилой  площади (руб. в мес.)  2019</t>
  </si>
  <si>
    <t>Переходящие остатки денежных средств на 01.01.2020 года</t>
  </si>
  <si>
    <t>период с 01.07.2013 года по 31.12.2019 года</t>
  </si>
  <si>
    <t>от _______________________2020 г.</t>
  </si>
  <si>
    <t>Ежегодный отчет Управляющей организации ООО "Партнер-1" о выполнении Договора о деятельности за отчетный период с 01.01.2019 г. по 31.12.2019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</si>
</sst>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&quot; &quot;?/4"/>
    <numFmt numFmtId="165" formatCode="0.000"/>
    <numFmt numFmtId="166" formatCode="0.0000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0" borderId="4" xfId="0" applyFont="1" applyFill="1" applyBorder="1"/>
    <xf numFmtId="2" fontId="1" fillId="0" borderId="4" xfId="0" applyNumberFormat="1" applyFont="1" applyFill="1" applyBorder="1"/>
    <xf numFmtId="2" fontId="4" fillId="0" borderId="0" xfId="0" applyNumberFormat="1" applyFont="1" applyFill="1"/>
    <xf numFmtId="0" fontId="4" fillId="0" borderId="0" xfId="0" applyFont="1" applyFill="1"/>
    <xf numFmtId="0" fontId="1" fillId="0" borderId="0" xfId="0" applyFont="1" applyFill="1"/>
    <xf numFmtId="2" fontId="2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0" xfId="0" applyFont="1" applyFill="1"/>
    <xf numFmtId="2" fontId="2" fillId="0" borderId="0" xfId="0" applyNumberFormat="1" applyFont="1" applyFill="1"/>
    <xf numFmtId="2" fontId="2" fillId="0" borderId="0" xfId="0" applyNumberFormat="1" applyFont="1" applyFill="1" applyBorder="1"/>
    <xf numFmtId="16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166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 shrinkToFit="1"/>
    </xf>
    <xf numFmtId="2" fontId="1" fillId="0" borderId="0" xfId="0" applyNumberFormat="1" applyFont="1" applyFill="1"/>
    <xf numFmtId="0" fontId="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vertical="top" wrapText="1"/>
    </xf>
    <xf numFmtId="0" fontId="8" fillId="0" borderId="34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/>
    <xf numFmtId="0" fontId="2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8" fillId="0" borderId="9" xfId="0" applyFont="1" applyFill="1" applyBorder="1" applyAlignment="1">
      <alignment horizontal="left" wrapText="1"/>
    </xf>
    <xf numFmtId="0" fontId="8" fillId="0" borderId="34" xfId="0" applyFont="1" applyFill="1" applyBorder="1" applyAlignment="1">
      <alignment horizontal="left" vertical="center" wrapText="1"/>
    </xf>
    <xf numFmtId="2" fontId="6" fillId="0" borderId="2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/>
    <xf numFmtId="0" fontId="6" fillId="0" borderId="11" xfId="0" applyFont="1" applyFill="1" applyBorder="1"/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38" xfId="0" applyFont="1" applyFill="1" applyBorder="1" applyAlignment="1">
      <alignment vertical="top" wrapText="1"/>
    </xf>
    <xf numFmtId="0" fontId="8" fillId="0" borderId="39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2" xfId="0" applyFont="1" applyFill="1" applyBorder="1"/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2" fontId="1" fillId="0" borderId="0" xfId="0" applyNumberFormat="1" applyFont="1" applyFill="1" applyBorder="1"/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 wrapText="1"/>
    </xf>
    <xf numFmtId="0" fontId="6" fillId="0" borderId="6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8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6" fillId="0" borderId="4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2" fillId="0" borderId="2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24" xfId="0" applyNumberFormat="1" applyFont="1" applyFill="1" applyBorder="1" applyAlignment="1"/>
    <xf numFmtId="2" fontId="2" fillId="0" borderId="0" xfId="0" applyNumberFormat="1" applyFont="1" applyFill="1" applyBorder="1" applyAlignment="1"/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3" xfId="0" applyFont="1" applyFill="1" applyBorder="1"/>
    <xf numFmtId="0" fontId="2" fillId="0" borderId="3" xfId="0" applyFont="1" applyFill="1" applyBorder="1"/>
    <xf numFmtId="0" fontId="2" fillId="0" borderId="18" xfId="0" applyFont="1" applyFill="1" applyBorder="1"/>
    <xf numFmtId="0" fontId="6" fillId="0" borderId="6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41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wrapText="1"/>
    </xf>
    <xf numFmtId="2" fontId="2" fillId="0" borderId="40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wrapText="1"/>
    </xf>
    <xf numFmtId="2" fontId="6" fillId="0" borderId="37" xfId="0" applyNumberFormat="1" applyFont="1" applyFill="1" applyBorder="1" applyAlignment="1">
      <alignment horizontal="center" wrapText="1"/>
    </xf>
    <xf numFmtId="2" fontId="6" fillId="0" borderId="37" xfId="0" applyNumberFormat="1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/>
    <xf numFmtId="2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vertical="center"/>
    </xf>
    <xf numFmtId="2" fontId="2" fillId="0" borderId="24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6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166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left" vertical="center"/>
    </xf>
    <xf numFmtId="2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4" fillId="0" borderId="3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2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5" fillId="0" borderId="0" xfId="0" applyFont="1" applyFill="1"/>
    <xf numFmtId="0" fontId="16" fillId="0" borderId="0" xfId="0" applyFont="1" applyFill="1" applyAlignment="1">
      <alignment vertical="center" wrapText="1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center" vertical="center" wrapText="1"/>
    </xf>
    <xf numFmtId="2" fontId="15" fillId="0" borderId="0" xfId="0" applyNumberFormat="1" applyFont="1" applyFill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33" xfId="0" applyFont="1" applyFill="1" applyBorder="1"/>
    <xf numFmtId="0" fontId="17" fillId="0" borderId="3" xfId="0" applyFont="1" applyFill="1" applyBorder="1"/>
    <xf numFmtId="0" fontId="17" fillId="0" borderId="18" xfId="0" applyFont="1" applyFill="1" applyBorder="1"/>
    <xf numFmtId="0" fontId="17" fillId="0" borderId="1" xfId="0" applyFont="1" applyFill="1" applyBorder="1" applyAlignment="1">
      <alignment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vertical="top" wrapText="1"/>
    </xf>
    <xf numFmtId="0" fontId="20" fillId="0" borderId="34" xfId="0" applyFont="1" applyFill="1" applyBorder="1" applyAlignment="1">
      <alignment horizontal="center" vertical="center" wrapText="1"/>
    </xf>
    <xf numFmtId="2" fontId="17" fillId="0" borderId="35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36" xfId="0" applyNumberFormat="1" applyFont="1" applyFill="1" applyBorder="1" applyAlignment="1">
      <alignment horizontal="center" vertical="center" wrapText="1"/>
    </xf>
    <xf numFmtId="2" fontId="19" fillId="0" borderId="2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2" fontId="19" fillId="0" borderId="0" xfId="0" applyNumberFormat="1" applyFont="1" applyFill="1"/>
    <xf numFmtId="0" fontId="17" fillId="0" borderId="3" xfId="0" applyFont="1" applyFill="1" applyBorder="1" applyAlignment="1">
      <alignment vertical="top" wrapText="1"/>
    </xf>
    <xf numFmtId="2" fontId="17" fillId="0" borderId="8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8" fillId="0" borderId="0" xfId="0" applyFont="1" applyFill="1"/>
    <xf numFmtId="0" fontId="19" fillId="0" borderId="3" xfId="0" applyFont="1" applyFill="1" applyBorder="1" applyAlignment="1">
      <alignment vertical="top" wrapText="1"/>
    </xf>
    <xf numFmtId="0" fontId="15" fillId="0" borderId="0" xfId="0" applyFont="1" applyFill="1" applyBorder="1"/>
    <xf numFmtId="0" fontId="20" fillId="0" borderId="9" xfId="0" applyFont="1" applyFill="1" applyBorder="1" applyAlignment="1">
      <alignment horizontal="left" wrapText="1"/>
    </xf>
    <xf numFmtId="0" fontId="20" fillId="0" borderId="34" xfId="0" applyFont="1" applyFill="1" applyBorder="1" applyAlignment="1">
      <alignment horizontal="left" vertical="center" wrapText="1"/>
    </xf>
    <xf numFmtId="2" fontId="18" fillId="0" borderId="0" xfId="0" applyNumberFormat="1" applyFont="1" applyFill="1"/>
    <xf numFmtId="0" fontId="19" fillId="0" borderId="38" xfId="0" applyFont="1" applyFill="1" applyBorder="1" applyAlignment="1">
      <alignment vertical="top" wrapText="1"/>
    </xf>
    <xf numFmtId="0" fontId="20" fillId="0" borderId="39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 vertical="center" wrapText="1"/>
    </xf>
    <xf numFmtId="2" fontId="17" fillId="0" borderId="40" xfId="0" applyNumberFormat="1" applyFont="1" applyFill="1" applyBorder="1" applyAlignment="1">
      <alignment horizontal="center" vertical="center"/>
    </xf>
    <xf numFmtId="2" fontId="19" fillId="0" borderId="26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19" fillId="0" borderId="12" xfId="0" applyFont="1" applyFill="1" applyBorder="1"/>
    <xf numFmtId="2" fontId="19" fillId="0" borderId="16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/>
    </xf>
    <xf numFmtId="2" fontId="19" fillId="0" borderId="17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wrapText="1"/>
    </xf>
    <xf numFmtId="0" fontId="17" fillId="0" borderId="24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2" fontId="17" fillId="0" borderId="24" xfId="0" applyNumberFormat="1" applyFont="1" applyFill="1" applyBorder="1" applyAlignment="1"/>
    <xf numFmtId="2" fontId="17" fillId="0" borderId="0" xfId="0" applyNumberFormat="1" applyFont="1" applyFill="1" applyBorder="1" applyAlignment="1"/>
    <xf numFmtId="0" fontId="17" fillId="0" borderId="0" xfId="0" applyFont="1" applyFill="1" applyBorder="1"/>
    <xf numFmtId="2" fontId="17" fillId="0" borderId="0" xfId="0" applyNumberFormat="1" applyFont="1" applyFill="1" applyBorder="1"/>
    <xf numFmtId="0" fontId="19" fillId="0" borderId="0" xfId="0" applyFont="1" applyFill="1" applyAlignment="1"/>
    <xf numFmtId="0" fontId="11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/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2" fontId="2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/>
    </xf>
    <xf numFmtId="2" fontId="15" fillId="0" borderId="0" xfId="0" applyNumberFormat="1" applyFont="1" applyFill="1" applyBorder="1"/>
    <xf numFmtId="2" fontId="6" fillId="0" borderId="16" xfId="0" applyNumberFormat="1" applyFont="1" applyFill="1" applyBorder="1" applyAlignment="1">
      <alignment horizontal="center" wrapText="1"/>
    </xf>
    <xf numFmtId="2" fontId="6" fillId="0" borderId="12" xfId="0" applyNumberFormat="1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46" xfId="0" applyNumberFormat="1" applyFont="1" applyFill="1" applyBorder="1" applyAlignment="1">
      <alignment horizontal="center"/>
    </xf>
    <xf numFmtId="2" fontId="2" fillId="0" borderId="47" xfId="0" applyNumberFormat="1" applyFont="1" applyFill="1" applyBorder="1" applyAlignment="1">
      <alignment horizontal="center"/>
    </xf>
    <xf numFmtId="2" fontId="2" fillId="0" borderId="35" xfId="0" applyNumberFormat="1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31" xfId="0" applyFont="1" applyFill="1" applyBorder="1" applyAlignment="1">
      <alignment horizontal="center" vertical="center" wrapText="1" shrinkToFit="1"/>
    </xf>
    <xf numFmtId="2" fontId="9" fillId="0" borderId="25" xfId="0" applyNumberFormat="1" applyFont="1" applyFill="1" applyBorder="1" applyAlignment="1">
      <alignment horizontal="center" vertical="center" wrapText="1"/>
    </xf>
    <xf numFmtId="2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 shrinkToFit="1"/>
    </xf>
    <xf numFmtId="0" fontId="9" fillId="0" borderId="29" xfId="0" applyFont="1" applyFill="1" applyBorder="1" applyAlignment="1">
      <alignment horizontal="center" vertical="center" wrapText="1" shrinkToFi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2" fontId="2" fillId="0" borderId="40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2" fontId="6" fillId="0" borderId="16" xfId="0" applyNumberFormat="1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2" fillId="0" borderId="43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2" fontId="2" fillId="0" borderId="29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4" fillId="0" borderId="19" xfId="0" applyFont="1" applyFill="1" applyBorder="1" applyAlignment="1">
      <alignment horizontal="center" wrapText="1" shrinkToFit="1"/>
    </xf>
    <xf numFmtId="0" fontId="9" fillId="0" borderId="2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17" fillId="0" borderId="46" xfId="0" applyNumberFormat="1" applyFont="1" applyFill="1" applyBorder="1" applyAlignment="1">
      <alignment horizontal="center"/>
    </xf>
    <xf numFmtId="2" fontId="17" fillId="0" borderId="47" xfId="0" applyNumberFormat="1" applyFont="1" applyFill="1" applyBorder="1" applyAlignment="1">
      <alignment horizontal="center"/>
    </xf>
    <xf numFmtId="2" fontId="17" fillId="0" borderId="8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2" fontId="17" fillId="0" borderId="35" xfId="0" applyNumberFormat="1" applyFont="1" applyFill="1" applyBorder="1" applyAlignment="1">
      <alignment horizontal="center"/>
    </xf>
    <xf numFmtId="2" fontId="17" fillId="0" borderId="20" xfId="0" applyNumberFormat="1" applyFont="1" applyFill="1" applyBorder="1" applyAlignment="1">
      <alignment horizontal="center"/>
    </xf>
    <xf numFmtId="2" fontId="17" fillId="0" borderId="14" xfId="0" applyNumberFormat="1" applyFont="1" applyFill="1" applyBorder="1" applyAlignment="1">
      <alignment horizontal="center"/>
    </xf>
    <xf numFmtId="2" fontId="17" fillId="0" borderId="34" xfId="0" applyNumberFormat="1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2" fontId="19" fillId="0" borderId="16" xfId="0" applyNumberFormat="1" applyFont="1" applyFill="1" applyBorder="1" applyAlignment="1">
      <alignment horizontal="center" wrapText="1"/>
    </xf>
    <xf numFmtId="2" fontId="19" fillId="0" borderId="12" xfId="0" applyNumberFormat="1" applyFont="1" applyFill="1" applyBorder="1" applyAlignment="1">
      <alignment horizontal="center" wrapText="1"/>
    </xf>
    <xf numFmtId="2" fontId="19" fillId="0" borderId="16" xfId="0" applyNumberFormat="1" applyFont="1" applyFill="1" applyBorder="1" applyAlignment="1">
      <alignment horizontal="center"/>
    </xf>
    <xf numFmtId="2" fontId="19" fillId="0" borderId="17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0" fontId="14" fillId="0" borderId="2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 shrinkToFit="1"/>
    </xf>
    <xf numFmtId="0" fontId="14" fillId="0" borderId="31" xfId="0" applyFont="1" applyFill="1" applyBorder="1" applyAlignment="1">
      <alignment horizontal="center" vertical="center" wrapText="1" shrinkToFit="1"/>
    </xf>
    <xf numFmtId="2" fontId="14" fillId="0" borderId="25" xfId="0" applyNumberFormat="1" applyFont="1" applyFill="1" applyBorder="1" applyAlignment="1">
      <alignment horizontal="center" vertical="center" wrapText="1"/>
    </xf>
    <xf numFmtId="2" fontId="14" fillId="0" borderId="32" xfId="0" applyNumberFormat="1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 shrinkToFit="1"/>
    </xf>
    <xf numFmtId="0" fontId="14" fillId="0" borderId="29" xfId="0" applyFont="1" applyFill="1" applyBorder="1" applyAlignment="1">
      <alignment horizontal="center" vertical="center" wrapText="1" shrinkToFi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2" fontId="17" fillId="0" borderId="40" xfId="0" applyNumberFormat="1" applyFont="1" applyFill="1" applyBorder="1" applyAlignment="1">
      <alignment horizontal="center"/>
    </xf>
    <xf numFmtId="2" fontId="17" fillId="0" borderId="39" xfId="0" applyNumberFormat="1" applyFont="1" applyFill="1" applyBorder="1" applyAlignment="1">
      <alignment horizontal="center"/>
    </xf>
    <xf numFmtId="2" fontId="17" fillId="0" borderId="43" xfId="0" applyNumberFormat="1" applyFont="1" applyFill="1" applyBorder="1" applyAlignment="1">
      <alignment horizontal="center"/>
    </xf>
    <xf numFmtId="2" fontId="19" fillId="0" borderId="12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2" fontId="17" fillId="0" borderId="1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wrapText="1" shrinkToFit="1"/>
    </xf>
    <xf numFmtId="0" fontId="23" fillId="0" borderId="0" xfId="0" applyFont="1" applyFill="1"/>
    <xf numFmtId="0" fontId="23" fillId="0" borderId="0" xfId="0" applyFont="1" applyFill="1" applyBorder="1" applyAlignment="1">
      <alignment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4" xfId="0" applyFont="1" applyFill="1" applyBorder="1"/>
    <xf numFmtId="2" fontId="23" fillId="0" borderId="4" xfId="0" applyNumberFormat="1" applyFont="1" applyFill="1" applyBorder="1"/>
    <xf numFmtId="0" fontId="24" fillId="0" borderId="0" xfId="0" applyFont="1" applyFill="1"/>
    <xf numFmtId="0" fontId="23" fillId="0" borderId="0" xfId="0" applyFont="1" applyFill="1" applyAlignment="1">
      <alignment horizontal="center" vertical="center"/>
    </xf>
    <xf numFmtId="2" fontId="25" fillId="0" borderId="0" xfId="0" applyNumberFormat="1" applyFont="1" applyFill="1"/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2" fontId="23" fillId="0" borderId="0" xfId="0" applyNumberFormat="1" applyFont="1" applyFill="1"/>
    <xf numFmtId="2" fontId="26" fillId="0" borderId="0" xfId="0" applyNumberFormat="1" applyFont="1" applyFill="1"/>
    <xf numFmtId="0" fontId="25" fillId="0" borderId="0" xfId="0" applyFont="1" applyFill="1"/>
    <xf numFmtId="2" fontId="24" fillId="0" borderId="0" xfId="0" applyNumberFormat="1" applyFont="1" applyFill="1"/>
    <xf numFmtId="0" fontId="23" fillId="0" borderId="0" xfId="0" applyFont="1" applyFill="1" applyBorder="1"/>
    <xf numFmtId="0" fontId="26" fillId="0" borderId="0" xfId="0" applyFont="1" applyFill="1" applyAlignment="1">
      <alignment horizontal="center" vertical="center"/>
    </xf>
    <xf numFmtId="0" fontId="0" fillId="0" borderId="47" xfId="0" applyFill="1" applyBorder="1"/>
    <xf numFmtId="0" fontId="0" fillId="0" borderId="29" xfId="0" applyFill="1" applyBorder="1"/>
    <xf numFmtId="0" fontId="0" fillId="0" borderId="9" xfId="0" applyFill="1" applyBorder="1"/>
    <xf numFmtId="0" fontId="0" fillId="0" borderId="14" xfId="0" applyFill="1" applyBorder="1"/>
    <xf numFmtId="0" fontId="0" fillId="0" borderId="11" xfId="0" applyFill="1" applyBorder="1"/>
    <xf numFmtId="0" fontId="0" fillId="0" borderId="15" xfId="0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22" xfId="0" applyFill="1" applyBorder="1"/>
    <xf numFmtId="0" fontId="22" fillId="0" borderId="4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56"/>
  <sheetViews>
    <sheetView topLeftCell="A18" zoomScale="110" zoomScaleNormal="110" workbookViewId="0">
      <selection activeCell="E25" sqref="E25"/>
    </sheetView>
  </sheetViews>
  <sheetFormatPr defaultColWidth="9.140625" defaultRowHeight="15.75" outlineLevelRow="1" x14ac:dyDescent="0.25"/>
  <cols>
    <col min="1" max="1" width="2.85546875" style="5" customWidth="1"/>
    <col min="2" max="2" width="56.28515625" style="5" customWidth="1"/>
    <col min="3" max="3" width="22" style="13" customWidth="1"/>
    <col min="4" max="4" width="8.7109375" style="82" customWidth="1"/>
    <col min="5" max="5" width="10.140625" style="82" customWidth="1"/>
    <col min="6" max="6" width="9.85546875" style="5" customWidth="1"/>
    <col min="7" max="7" width="10.28515625" style="5" customWidth="1"/>
    <col min="8" max="10" width="11" style="82" customWidth="1"/>
    <col min="11" max="11" width="12.5703125" style="5" customWidth="1"/>
    <col min="12" max="12" width="12.85546875" style="5" customWidth="1"/>
    <col min="13" max="13" width="17.5703125" style="310" customWidth="1"/>
    <col min="14" max="14" width="17.28515625" style="310" customWidth="1"/>
    <col min="15" max="16384" width="9.140625" style="5"/>
  </cols>
  <sheetData>
    <row r="1" spans="2:10" x14ac:dyDescent="0.25">
      <c r="B1" s="233" t="s">
        <v>211</v>
      </c>
      <c r="C1" s="233"/>
      <c r="D1" s="233"/>
      <c r="E1" s="233"/>
      <c r="F1" s="233"/>
      <c r="G1" s="233"/>
      <c r="H1" s="233"/>
      <c r="I1" s="206"/>
      <c r="J1" s="206"/>
    </row>
    <row r="2" spans="2:10" ht="19.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211"/>
      <c r="J2" s="211"/>
    </row>
    <row r="3" spans="2:10" ht="22.5" customHeight="1" x14ac:dyDescent="0.35">
      <c r="B3" s="265"/>
      <c r="C3" s="265"/>
      <c r="D3" s="265"/>
      <c r="E3" s="265"/>
      <c r="F3" s="265"/>
      <c r="G3" s="265"/>
      <c r="H3" s="265"/>
      <c r="I3" s="211"/>
      <c r="J3" s="211"/>
    </row>
    <row r="4" spans="2:10" ht="8.25" customHeight="1" x14ac:dyDescent="0.25">
      <c r="D4" s="245"/>
      <c r="E4" s="245"/>
    </row>
    <row r="5" spans="2:10" x14ac:dyDescent="0.25">
      <c r="B5" s="10" t="s">
        <v>0</v>
      </c>
      <c r="C5" s="121"/>
      <c r="D5" s="234" t="s">
        <v>11</v>
      </c>
      <c r="E5" s="234"/>
    </row>
    <row r="6" spans="2:10" x14ac:dyDescent="0.25">
      <c r="B6" s="10" t="s">
        <v>1</v>
      </c>
      <c r="C6" s="121"/>
      <c r="D6" s="207">
        <v>1962</v>
      </c>
      <c r="E6" s="207"/>
    </row>
    <row r="7" spans="2:10" hidden="1" outlineLevel="1" x14ac:dyDescent="0.25">
      <c r="B7" s="10" t="s">
        <v>2</v>
      </c>
      <c r="C7" s="121"/>
      <c r="D7" s="124">
        <v>2</v>
      </c>
      <c r="E7" s="207"/>
    </row>
    <row r="8" spans="2:10" hidden="1" outlineLevel="1" x14ac:dyDescent="0.25">
      <c r="B8" s="10" t="s">
        <v>3</v>
      </c>
      <c r="C8" s="121"/>
      <c r="D8" s="207">
        <v>16</v>
      </c>
      <c r="E8" s="207"/>
    </row>
    <row r="9" spans="2:10" ht="26.25" hidden="1" outlineLevel="1" x14ac:dyDescent="0.25">
      <c r="B9" s="122" t="s">
        <v>4</v>
      </c>
      <c r="C9" s="123"/>
      <c r="D9" s="207" t="s">
        <v>12</v>
      </c>
      <c r="E9" s="207"/>
    </row>
    <row r="10" spans="2:10" collapsed="1" x14ac:dyDescent="0.25">
      <c r="B10" s="10" t="s">
        <v>5</v>
      </c>
      <c r="C10" s="121"/>
      <c r="D10" s="207" t="s">
        <v>225</v>
      </c>
      <c r="E10" s="207"/>
    </row>
    <row r="11" spans="2:10" ht="35.25" hidden="1" customHeight="1" outlineLevel="1" x14ac:dyDescent="0.25">
      <c r="B11" s="14" t="s">
        <v>7</v>
      </c>
      <c r="C11" s="15"/>
      <c r="D11" s="91" t="s">
        <v>14</v>
      </c>
      <c r="E11" s="208"/>
    </row>
    <row r="12" spans="2:10" ht="9" customHeight="1" collapsed="1" x14ac:dyDescent="0.25">
      <c r="B12" s="14"/>
      <c r="C12" s="15"/>
      <c r="D12" s="91"/>
      <c r="E12" s="208"/>
    </row>
    <row r="13" spans="2:10" ht="16.5" thickBot="1" x14ac:dyDescent="0.3">
      <c r="B13" s="260" t="s">
        <v>313</v>
      </c>
      <c r="C13" s="260"/>
      <c r="D13" s="260"/>
      <c r="E13" s="260"/>
      <c r="F13" s="260"/>
      <c r="G13" s="260"/>
      <c r="H13" s="260"/>
    </row>
    <row r="14" spans="2:10" ht="48" customHeight="1" thickBot="1" x14ac:dyDescent="0.3">
      <c r="B14" s="92" t="s">
        <v>311</v>
      </c>
      <c r="C14" s="266" t="s">
        <v>207</v>
      </c>
      <c r="D14" s="267"/>
      <c r="E14" s="257" t="s">
        <v>8</v>
      </c>
      <c r="F14" s="258"/>
      <c r="G14" s="257" t="s">
        <v>9</v>
      </c>
      <c r="H14" s="259"/>
    </row>
    <row r="15" spans="2:10" ht="15.75" customHeight="1" x14ac:dyDescent="0.25">
      <c r="B15" s="93" t="s">
        <v>15</v>
      </c>
      <c r="C15" s="222">
        <v>632563.08000000007</v>
      </c>
      <c r="D15" s="253"/>
      <c r="E15" s="224">
        <v>433404.45000000007</v>
      </c>
      <c r="F15" s="225"/>
      <c r="G15" s="224">
        <v>199158.63</v>
      </c>
      <c r="H15" s="226"/>
    </row>
    <row r="16" spans="2:10" ht="15.75" customHeight="1" x14ac:dyDescent="0.25">
      <c r="B16" s="94" t="s">
        <v>16</v>
      </c>
      <c r="C16" s="220">
        <v>547704.34999999986</v>
      </c>
      <c r="D16" s="221"/>
      <c r="E16" s="220">
        <v>375419.49999999994</v>
      </c>
      <c r="F16" s="221"/>
      <c r="G16" s="220">
        <v>172284.84999999998</v>
      </c>
      <c r="H16" s="251"/>
    </row>
    <row r="17" spans="2:14" ht="15.75" customHeight="1" x14ac:dyDescent="0.25">
      <c r="B17" s="95" t="s">
        <v>189</v>
      </c>
      <c r="C17" s="220">
        <v>539761.30450000009</v>
      </c>
      <c r="D17" s="221"/>
      <c r="E17" s="246">
        <v>435140.30450000003</v>
      </c>
      <c r="F17" s="247"/>
      <c r="G17" s="246">
        <v>104621</v>
      </c>
      <c r="H17" s="252"/>
    </row>
    <row r="18" spans="2:14" ht="15.75" customHeight="1" thickBot="1" x14ac:dyDescent="0.3">
      <c r="B18" s="96" t="s">
        <v>226</v>
      </c>
      <c r="C18" s="220">
        <v>10800</v>
      </c>
      <c r="D18" s="221"/>
      <c r="E18" s="227">
        <v>10800</v>
      </c>
      <c r="F18" s="228"/>
      <c r="G18" s="227">
        <v>0</v>
      </c>
      <c r="H18" s="250"/>
    </row>
    <row r="19" spans="2:14" ht="30" customHeight="1" thickBot="1" x14ac:dyDescent="0.3">
      <c r="B19" s="97" t="s">
        <v>297</v>
      </c>
      <c r="C19" s="216">
        <f>E19+G19</f>
        <v>18743.045499999891</v>
      </c>
      <c r="D19" s="217"/>
      <c r="E19" s="248">
        <f>E16+E18-E17</f>
        <v>-48920.804500000086</v>
      </c>
      <c r="F19" s="254"/>
      <c r="G19" s="248">
        <f>G16-G17</f>
        <v>67663.849999999977</v>
      </c>
      <c r="H19" s="249"/>
    </row>
    <row r="20" spans="2:14" ht="12" customHeight="1" x14ac:dyDescent="0.25">
      <c r="M20" s="311"/>
      <c r="N20" s="311"/>
    </row>
    <row r="21" spans="2:14" ht="20.2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27.7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4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72278.600000000006</v>
      </c>
      <c r="N23" s="314">
        <f>M23*1.01</f>
        <v>73001.386000000013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7310.6217557251921</v>
      </c>
      <c r="G24" s="24">
        <f>$N$23/$N$24*E24</f>
        <v>7383.7279732824445</v>
      </c>
      <c r="H24" s="25">
        <f>F24-G24</f>
        <v>-73.106217557252421</v>
      </c>
      <c r="I24" s="26"/>
      <c r="J24" s="26"/>
      <c r="K24" s="27"/>
      <c r="L24" s="28"/>
      <c r="M24" s="315">
        <f>E33-E31</f>
        <v>10.48</v>
      </c>
      <c r="N24" s="315">
        <f>E33-E31</f>
        <v>10.48</v>
      </c>
    </row>
    <row r="25" spans="2:14" ht="56.25" x14ac:dyDescent="0.25">
      <c r="B25" s="29" t="s">
        <v>202</v>
      </c>
      <c r="C25" s="8" t="s">
        <v>223</v>
      </c>
      <c r="D25" s="22" t="s">
        <v>201</v>
      </c>
      <c r="E25" s="99">
        <v>0</v>
      </c>
      <c r="F25" s="23">
        <f>$M$23/$M$24*E25</f>
        <v>0</v>
      </c>
      <c r="G25" s="24">
        <f>$N$23/$N$24*E25</f>
        <v>0</v>
      </c>
      <c r="H25" s="25">
        <f t="shared" ref="H25:H30" si="0">F25-G25</f>
        <v>0</v>
      </c>
      <c r="I25" s="26"/>
      <c r="J25" s="26"/>
      <c r="K25" s="4"/>
      <c r="L25" s="4"/>
      <c r="M25" s="316"/>
      <c r="N25" s="316"/>
    </row>
    <row r="26" spans="2:14" ht="52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2206.9801526717561</v>
      </c>
      <c r="G26" s="24">
        <f t="shared" ref="G26:G29" si="2">$N$23/$N$24*E26</f>
        <v>2229.0499541984736</v>
      </c>
      <c r="H26" s="25">
        <f t="shared" si="0"/>
        <v>-22.069801526717583</v>
      </c>
      <c r="I26" s="26"/>
      <c r="J26" s="26"/>
      <c r="L26" s="17"/>
    </row>
    <row r="27" spans="2:14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574.73441475826974</v>
      </c>
      <c r="G27" s="24">
        <f>($N$23/12*2)/$N$24*E27</f>
        <v>580.48175890585253</v>
      </c>
      <c r="H27" s="25">
        <f t="shared" si="0"/>
        <v>-5.747344147582794</v>
      </c>
      <c r="I27" s="26"/>
      <c r="J27" s="26"/>
      <c r="L27" s="17"/>
    </row>
    <row r="28" spans="2:14" ht="51" x14ac:dyDescent="0.25">
      <c r="B28" s="29" t="s">
        <v>192</v>
      </c>
      <c r="C28" s="32" t="s">
        <v>224</v>
      </c>
      <c r="D28" s="22" t="s">
        <v>201</v>
      </c>
      <c r="E28" s="99">
        <v>1.18</v>
      </c>
      <c r="F28" s="23">
        <f t="shared" si="1"/>
        <v>8138.2393129770999</v>
      </c>
      <c r="G28" s="24">
        <f t="shared" si="2"/>
        <v>8219.621706106871</v>
      </c>
      <c r="H28" s="25">
        <f t="shared" si="0"/>
        <v>-81.382393129771117</v>
      </c>
      <c r="I28" s="26"/>
      <c r="J28" s="26"/>
    </row>
    <row r="29" spans="2:14" ht="217.5" customHeight="1" x14ac:dyDescent="0.25">
      <c r="B29" s="29" t="s">
        <v>299</v>
      </c>
      <c r="C29" s="32" t="s">
        <v>204</v>
      </c>
      <c r="D29" s="22" t="s">
        <v>201</v>
      </c>
      <c r="E29" s="99">
        <v>5.61</v>
      </c>
      <c r="F29" s="23">
        <f t="shared" si="1"/>
        <v>38691.120801526726</v>
      </c>
      <c r="G29" s="24">
        <f t="shared" si="2"/>
        <v>39078.032009541996</v>
      </c>
      <c r="H29" s="25">
        <f t="shared" si="0"/>
        <v>-386.91120801526995</v>
      </c>
      <c r="I29" s="26"/>
      <c r="J29" s="26"/>
      <c r="K29" s="4"/>
      <c r="L29" s="3"/>
      <c r="M29" s="316"/>
      <c r="N29" s="316"/>
    </row>
    <row r="30" spans="2:14" ht="108.7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1310.3944656488552</v>
      </c>
      <c r="G30" s="24">
        <f t="shared" ref="G30" si="3">$N$23/$N$24*E30</f>
        <v>1323.4984103053439</v>
      </c>
      <c r="H30" s="25">
        <f t="shared" si="0"/>
        <v>-13.103944656488693</v>
      </c>
      <c r="I30" s="26"/>
      <c r="J30" s="26"/>
    </row>
    <row r="31" spans="2:14" ht="56.25" x14ac:dyDescent="0.25">
      <c r="B31" s="30" t="s">
        <v>206</v>
      </c>
      <c r="C31" s="8" t="s">
        <v>223</v>
      </c>
      <c r="D31" s="22" t="s">
        <v>201</v>
      </c>
      <c r="E31" s="99">
        <v>5.16</v>
      </c>
      <c r="F31" s="23">
        <v>38528.68</v>
      </c>
      <c r="G31" s="6">
        <v>67471</v>
      </c>
      <c r="H31" s="25">
        <f>F31-G31</f>
        <v>-28942.32</v>
      </c>
      <c r="I31" s="26"/>
      <c r="J31" s="26"/>
      <c r="L31" s="17"/>
    </row>
    <row r="32" spans="2:14" ht="16.5" thickBot="1" x14ac:dyDescent="0.3">
      <c r="B32" s="67" t="s">
        <v>186</v>
      </c>
      <c r="C32" s="81" t="s">
        <v>204</v>
      </c>
      <c r="D32" s="53" t="s">
        <v>201</v>
      </c>
      <c r="E32" s="100">
        <f>1.32+0.3</f>
        <v>1.62</v>
      </c>
      <c r="F32" s="23">
        <f t="shared" si="1"/>
        <v>11172.837022900765</v>
      </c>
      <c r="G32" s="24">
        <f t="shared" ref="G32" si="4">$N$23/$N$24*E32</f>
        <v>11284.565393129775</v>
      </c>
      <c r="H32" s="33">
        <f>F32-G32</f>
        <v>-111.72837022900967</v>
      </c>
      <c r="I32" s="26"/>
      <c r="J32" s="26"/>
    </row>
    <row r="33" spans="2:14" ht="16.5" thickBot="1" x14ac:dyDescent="0.3">
      <c r="B33" s="54" t="s">
        <v>190</v>
      </c>
      <c r="C33" s="55"/>
      <c r="D33" s="55"/>
      <c r="E33" s="101">
        <f>SUM(E24:E32)</f>
        <v>15.64</v>
      </c>
      <c r="F33" s="56">
        <f>SUM(F24:F32)</f>
        <v>107933.60792620867</v>
      </c>
      <c r="G33" s="57">
        <f>SUM(G24:G32)</f>
        <v>137569.97720547076</v>
      </c>
      <c r="H33" s="38">
        <f>SUM(H24:H32)</f>
        <v>-29636.369279262093</v>
      </c>
      <c r="I33" s="39"/>
      <c r="J33" s="39"/>
    </row>
    <row r="34" spans="2:14" x14ac:dyDescent="0.25">
      <c r="B34" s="17"/>
      <c r="C34" s="17"/>
      <c r="D34" s="17"/>
      <c r="E34" s="86"/>
      <c r="F34" s="86"/>
      <c r="G34" s="86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x14ac:dyDescent="0.25">
      <c r="B37" s="93" t="s">
        <v>15</v>
      </c>
      <c r="C37" s="222">
        <f>E37+G37</f>
        <v>740496.68792620872</v>
      </c>
      <c r="D37" s="223"/>
      <c r="E37" s="224">
        <f>F24+F25+F26+F27+F28+F29+F30+F32+E15</f>
        <v>502809.37792620872</v>
      </c>
      <c r="F37" s="225"/>
      <c r="G37" s="224">
        <f>F31+G15</f>
        <v>237687.31</v>
      </c>
      <c r="H37" s="226"/>
      <c r="I37" s="212"/>
      <c r="J37" s="212"/>
      <c r="K37" s="9"/>
      <c r="L37" s="9"/>
      <c r="M37" s="318"/>
    </row>
    <row r="38" spans="2:14" x14ac:dyDescent="0.25">
      <c r="B38" s="94" t="s">
        <v>16</v>
      </c>
      <c r="C38" s="220">
        <f>E38+G38</f>
        <v>634308.60999999987</v>
      </c>
      <c r="D38" s="221"/>
      <c r="E38" s="220">
        <f>E16+56491.19</f>
        <v>431910.68999999994</v>
      </c>
      <c r="F38" s="221"/>
      <c r="G38" s="220">
        <f>G16+30113.07</f>
        <v>202397.91999999998</v>
      </c>
      <c r="H38" s="251"/>
      <c r="I38" s="212"/>
      <c r="J38" s="212"/>
      <c r="K38" s="12"/>
      <c r="L38" s="9"/>
      <c r="M38" s="318"/>
    </row>
    <row r="39" spans="2:14" x14ac:dyDescent="0.25">
      <c r="B39" s="95" t="s">
        <v>189</v>
      </c>
      <c r="C39" s="220">
        <f>E39+G39</f>
        <v>677331.28170547076</v>
      </c>
      <c r="D39" s="221"/>
      <c r="E39" s="246">
        <f>G24+G25+G26+G27+G28+G29+G30+G32+E17</f>
        <v>505239.28170547076</v>
      </c>
      <c r="F39" s="247"/>
      <c r="G39" s="246">
        <f>G31+G17</f>
        <v>172092</v>
      </c>
      <c r="H39" s="252"/>
      <c r="I39" s="212"/>
      <c r="J39" s="212"/>
      <c r="K39" s="44"/>
      <c r="L39" s="44"/>
    </row>
    <row r="40" spans="2:14" ht="16.5" thickBot="1" x14ac:dyDescent="0.3">
      <c r="B40" s="96" t="s">
        <v>226</v>
      </c>
      <c r="C40" s="227">
        <f>E40+G40</f>
        <v>14400</v>
      </c>
      <c r="D40" s="228"/>
      <c r="E40" s="227">
        <f>E18+3600</f>
        <v>14400</v>
      </c>
      <c r="F40" s="228"/>
      <c r="G40" s="227">
        <f>G18</f>
        <v>0</v>
      </c>
      <c r="H40" s="250"/>
      <c r="I40" s="212"/>
      <c r="J40" s="212"/>
      <c r="K40" s="44"/>
      <c r="L40" s="44"/>
    </row>
    <row r="41" spans="2:14" ht="31.5" customHeight="1" thickBot="1" x14ac:dyDescent="0.3">
      <c r="B41" s="97" t="s">
        <v>298</v>
      </c>
      <c r="C41" s="216">
        <f>E41+G41</f>
        <v>-28622.671705470828</v>
      </c>
      <c r="D41" s="217"/>
      <c r="E41" s="248">
        <f>E38+E40-E39</f>
        <v>-58928.591705470812</v>
      </c>
      <c r="F41" s="254"/>
      <c r="G41" s="248">
        <f>G38-G39</f>
        <v>30305.919999999984</v>
      </c>
      <c r="H41" s="249"/>
      <c r="I41" s="212"/>
      <c r="J41" s="212"/>
      <c r="K41" s="44"/>
      <c r="L41" s="44"/>
    </row>
    <row r="42" spans="2:14" ht="12" customHeight="1" x14ac:dyDescent="0.25">
      <c r="B42" s="83"/>
      <c r="C42" s="105"/>
      <c r="D42" s="105"/>
      <c r="E42" s="106"/>
      <c r="F42" s="85"/>
      <c r="G42" s="85"/>
      <c r="H42" s="85"/>
      <c r="I42" s="212"/>
      <c r="J42" s="212"/>
      <c r="K42" s="44"/>
      <c r="L42" s="44"/>
    </row>
    <row r="43" spans="2:14" ht="18.7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205"/>
      <c r="I43" s="205"/>
      <c r="J43" s="205"/>
      <c r="K43" s="4"/>
      <c r="L43" s="4"/>
      <c r="M43" s="316"/>
      <c r="N43" s="316"/>
    </row>
    <row r="44" spans="2:14" ht="11.25" customHeight="1" x14ac:dyDescent="0.25">
      <c r="B44" s="205"/>
      <c r="C44" s="205"/>
      <c r="D44" s="205"/>
      <c r="E44" s="209"/>
      <c r="F44" s="231"/>
      <c r="G44" s="231"/>
      <c r="H44" s="210"/>
      <c r="I44" s="210"/>
      <c r="J44" s="210"/>
      <c r="K44" s="4"/>
      <c r="L44" s="4"/>
      <c r="M44" s="316"/>
      <c r="N44" s="316"/>
    </row>
    <row r="45" spans="2:14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205"/>
      <c r="I45" s="205"/>
      <c r="J45" s="205"/>
      <c r="K45" s="4"/>
      <c r="L45" s="4"/>
      <c r="M45" s="316"/>
      <c r="N45" s="316"/>
    </row>
    <row r="46" spans="2:14" ht="9.75" customHeight="1" x14ac:dyDescent="0.25">
      <c r="B46" s="205"/>
      <c r="C46" s="205"/>
      <c r="D46" s="205"/>
      <c r="E46" s="209"/>
      <c r="F46" s="230"/>
      <c r="G46" s="230"/>
      <c r="H46" s="205"/>
      <c r="I46" s="205"/>
      <c r="J46" s="205"/>
    </row>
    <row r="47" spans="2:14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205"/>
      <c r="I47" s="205"/>
      <c r="J47" s="205"/>
    </row>
    <row r="48" spans="2:14" ht="8.25" customHeight="1" x14ac:dyDescent="0.25">
      <c r="B48" s="45"/>
      <c r="C48" s="45"/>
      <c r="D48" s="45"/>
      <c r="E48" s="209"/>
      <c r="F48" s="46"/>
      <c r="G48" s="47"/>
      <c r="H48" s="48"/>
      <c r="I48" s="48"/>
      <c r="J48" s="48"/>
    </row>
    <row r="49" spans="2:10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5"/>
      <c r="I49" s="5"/>
      <c r="J49" s="5"/>
    </row>
    <row r="50" spans="2:10" ht="9" customHeight="1" x14ac:dyDescent="0.25">
      <c r="B50" s="49"/>
      <c r="C50" s="49"/>
      <c r="D50" s="49"/>
      <c r="E50" s="209"/>
      <c r="F50" s="229"/>
      <c r="G50" s="229"/>
      <c r="H50" s="5"/>
      <c r="I50" s="5"/>
      <c r="J50" s="5"/>
    </row>
    <row r="51" spans="2:10" x14ac:dyDescent="0.25">
      <c r="B51" s="49"/>
      <c r="C51" s="49"/>
      <c r="D51" s="87"/>
      <c r="E51" s="87"/>
      <c r="F51" s="88"/>
      <c r="G51" s="88"/>
      <c r="H51" s="5"/>
      <c r="I51" s="5"/>
      <c r="J51" s="5"/>
    </row>
    <row r="52" spans="2:10" x14ac:dyDescent="0.25">
      <c r="C52" s="86"/>
      <c r="H52" s="5"/>
      <c r="I52" s="5"/>
      <c r="J52" s="5"/>
    </row>
    <row r="53" spans="2:10" x14ac:dyDescent="0.25">
      <c r="C53" s="86"/>
      <c r="H53" s="5"/>
      <c r="I53" s="5"/>
      <c r="J53" s="5"/>
    </row>
    <row r="54" spans="2:10" x14ac:dyDescent="0.25">
      <c r="C54" s="86"/>
      <c r="H54" s="5"/>
      <c r="I54" s="5"/>
      <c r="J54" s="5"/>
    </row>
    <row r="55" spans="2:10" x14ac:dyDescent="0.25">
      <c r="C55" s="86"/>
      <c r="H55" s="5"/>
      <c r="I55" s="5"/>
      <c r="J55" s="5"/>
    </row>
    <row r="56" spans="2:10" x14ac:dyDescent="0.25">
      <c r="C56" s="86"/>
      <c r="H56" s="5"/>
      <c r="I56" s="5"/>
      <c r="J56" s="5"/>
    </row>
  </sheetData>
  <mergeCells count="62">
    <mergeCell ref="C45:E45"/>
    <mergeCell ref="C47:E47"/>
    <mergeCell ref="C49:E49"/>
    <mergeCell ref="C14:D14"/>
    <mergeCell ref="C15:D15"/>
    <mergeCell ref="C16:D16"/>
    <mergeCell ref="E19:F19"/>
    <mergeCell ref="F43:G43"/>
    <mergeCell ref="E38:F38"/>
    <mergeCell ref="G38:H38"/>
    <mergeCell ref="E39:F39"/>
    <mergeCell ref="G39:H39"/>
    <mergeCell ref="E40:F40"/>
    <mergeCell ref="G40:H40"/>
    <mergeCell ref="E41:F41"/>
    <mergeCell ref="G41:H41"/>
    <mergeCell ref="G19:H19"/>
    <mergeCell ref="E18:F18"/>
    <mergeCell ref="G18:H18"/>
    <mergeCell ref="E15:F15"/>
    <mergeCell ref="G15:H15"/>
    <mergeCell ref="E16:F16"/>
    <mergeCell ref="G16:H16"/>
    <mergeCell ref="G17:H17"/>
    <mergeCell ref="C43:E43"/>
    <mergeCell ref="B1:H1"/>
    <mergeCell ref="D5:E5"/>
    <mergeCell ref="B21:H21"/>
    <mergeCell ref="B22:B23"/>
    <mergeCell ref="C22:C23"/>
    <mergeCell ref="D22:D23"/>
    <mergeCell ref="E22:E23"/>
    <mergeCell ref="F22:G22"/>
    <mergeCell ref="H22:H23"/>
    <mergeCell ref="B2:H3"/>
    <mergeCell ref="D4:E4"/>
    <mergeCell ref="E14:F14"/>
    <mergeCell ref="G14:H14"/>
    <mergeCell ref="B13:H13"/>
    <mergeCell ref="E17:F17"/>
    <mergeCell ref="F50:G50"/>
    <mergeCell ref="F47:G47"/>
    <mergeCell ref="F49:G49"/>
    <mergeCell ref="F44:G44"/>
    <mergeCell ref="F45:G45"/>
    <mergeCell ref="F46:G46"/>
    <mergeCell ref="C41:D41"/>
    <mergeCell ref="C36:D36"/>
    <mergeCell ref="M21:M22"/>
    <mergeCell ref="N21:N22"/>
    <mergeCell ref="C17:D17"/>
    <mergeCell ref="C18:D18"/>
    <mergeCell ref="C19:D19"/>
    <mergeCell ref="C37:D37"/>
    <mergeCell ref="C38:D38"/>
    <mergeCell ref="B35:H35"/>
    <mergeCell ref="E36:F36"/>
    <mergeCell ref="G36:H36"/>
    <mergeCell ref="E37:F37"/>
    <mergeCell ref="G37:H37"/>
    <mergeCell ref="C39:D39"/>
    <mergeCell ref="C40:D40"/>
  </mergeCells>
  <pageMargins left="0.48" right="0.19685039370078741" top="0.37" bottom="0.23622047244094491" header="0.4" footer="0.25"/>
  <pageSetup paperSize="9" scale="45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51"/>
  <sheetViews>
    <sheetView topLeftCell="A20" zoomScale="110" zoomScaleNormal="110" workbookViewId="0">
      <selection activeCell="M20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5703125" style="5" customWidth="1"/>
    <col min="3" max="3" width="21.140625" style="86" customWidth="1"/>
    <col min="4" max="4" width="8.28515625" style="82" customWidth="1"/>
    <col min="5" max="5" width="10.140625" style="82" customWidth="1"/>
    <col min="6" max="6" width="10.28515625" style="82" customWidth="1"/>
    <col min="7" max="7" width="10.28515625" style="5" customWidth="1"/>
    <col min="8" max="8" width="10.7109375" style="5" customWidth="1"/>
    <col min="9" max="9" width="10" style="5" customWidth="1"/>
    <col min="10" max="10" width="11.5703125" style="5" customWidth="1"/>
    <col min="11" max="11" width="9.5703125" style="5" bestFit="1" customWidth="1"/>
    <col min="12" max="12" width="11.140625" style="5" customWidth="1"/>
    <col min="13" max="14" width="14.42578125" style="310" customWidth="1"/>
    <col min="15" max="16384" width="9.140625" style="5"/>
  </cols>
  <sheetData>
    <row r="1" spans="2:9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9.5" customHeight="1" x14ac:dyDescent="0.25">
      <c r="B2" s="265" t="s">
        <v>323</v>
      </c>
      <c r="C2" s="265"/>
      <c r="D2" s="265"/>
      <c r="E2" s="265"/>
      <c r="F2" s="265"/>
      <c r="G2" s="265"/>
      <c r="H2" s="265"/>
    </row>
    <row r="3" spans="2:9" ht="24.75" customHeight="1" x14ac:dyDescent="0.25">
      <c r="B3" s="265"/>
      <c r="C3" s="265"/>
      <c r="D3" s="265"/>
      <c r="E3" s="265"/>
      <c r="F3" s="265"/>
      <c r="G3" s="265"/>
      <c r="H3" s="265"/>
    </row>
    <row r="4" spans="2:9" ht="12" customHeight="1" x14ac:dyDescent="0.25"/>
    <row r="5" spans="2:9" x14ac:dyDescent="0.25">
      <c r="B5" s="10" t="s">
        <v>0</v>
      </c>
      <c r="C5" s="125"/>
      <c r="D5" s="234" t="s">
        <v>17</v>
      </c>
      <c r="E5" s="234"/>
    </row>
    <row r="6" spans="2:9" x14ac:dyDescent="0.25">
      <c r="B6" s="10" t="s">
        <v>1</v>
      </c>
      <c r="C6" s="125"/>
      <c r="D6" s="207">
        <v>1962</v>
      </c>
      <c r="E6" s="207"/>
    </row>
    <row r="7" spans="2:9" hidden="1" outlineLevel="1" x14ac:dyDescent="0.25">
      <c r="B7" s="10" t="s">
        <v>2</v>
      </c>
      <c r="C7" s="125"/>
      <c r="D7" s="207">
        <v>2</v>
      </c>
      <c r="E7" s="207"/>
    </row>
    <row r="8" spans="2:9" hidden="1" outlineLevel="1" x14ac:dyDescent="0.25">
      <c r="B8" s="10" t="s">
        <v>3</v>
      </c>
      <c r="C8" s="125"/>
      <c r="D8" s="207">
        <v>16</v>
      </c>
      <c r="E8" s="207"/>
    </row>
    <row r="9" spans="2:9" ht="30.75" hidden="1" customHeight="1" outlineLevel="1" x14ac:dyDescent="0.25">
      <c r="B9" s="122" t="s">
        <v>4</v>
      </c>
      <c r="C9" s="126"/>
      <c r="D9" s="207" t="s">
        <v>19</v>
      </c>
      <c r="E9" s="207"/>
    </row>
    <row r="10" spans="2:9" collapsed="1" x14ac:dyDescent="0.25">
      <c r="B10" s="10" t="s">
        <v>5</v>
      </c>
      <c r="C10" s="125"/>
      <c r="D10" s="207" t="s">
        <v>228</v>
      </c>
      <c r="E10" s="207"/>
      <c r="I10" s="17"/>
    </row>
    <row r="11" spans="2:9" hidden="1" outlineLevel="1" x14ac:dyDescent="0.25">
      <c r="B11" s="5" t="s">
        <v>6</v>
      </c>
      <c r="D11" s="208" t="s">
        <v>13</v>
      </c>
      <c r="E11" s="208"/>
    </row>
    <row r="12" spans="2:9" ht="30.75" hidden="1" customHeight="1" outlineLevel="1" x14ac:dyDescent="0.25">
      <c r="B12" s="14" t="s">
        <v>7</v>
      </c>
      <c r="C12" s="58"/>
      <c r="D12" s="91" t="s">
        <v>18</v>
      </c>
      <c r="E12" s="208"/>
      <c r="I12" s="17"/>
    </row>
    <row r="13" spans="2:9" ht="12" customHeight="1" collapsed="1" x14ac:dyDescent="0.25">
      <c r="B13" s="14"/>
      <c r="C13" s="58"/>
      <c r="D13" s="91"/>
      <c r="E13" s="208"/>
      <c r="I13" s="17"/>
    </row>
    <row r="14" spans="2:9" ht="18" customHeight="1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9" ht="42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9" ht="15.75" customHeight="1" x14ac:dyDescent="0.25">
      <c r="B16" s="93" t="s">
        <v>15</v>
      </c>
      <c r="C16" s="222">
        <v>654700.16999999993</v>
      </c>
      <c r="D16" s="253"/>
      <c r="E16" s="224">
        <v>448518.87</v>
      </c>
      <c r="F16" s="225"/>
      <c r="G16" s="224">
        <v>206181.3</v>
      </c>
      <c r="H16" s="226"/>
      <c r="I16" s="17"/>
    </row>
    <row r="17" spans="2:14" ht="15.75" customHeight="1" x14ac:dyDescent="0.25">
      <c r="B17" s="94" t="s">
        <v>16</v>
      </c>
      <c r="C17" s="220">
        <v>603479.12999999989</v>
      </c>
      <c r="D17" s="221"/>
      <c r="E17" s="220">
        <v>414694.66</v>
      </c>
      <c r="F17" s="221"/>
      <c r="G17" s="220">
        <v>188784.46999999997</v>
      </c>
      <c r="H17" s="251"/>
      <c r="I17" s="17"/>
    </row>
    <row r="18" spans="2:14" ht="15.75" customHeight="1" x14ac:dyDescent="0.25">
      <c r="B18" s="95" t="s">
        <v>189</v>
      </c>
      <c r="C18" s="220">
        <v>588421.72069999995</v>
      </c>
      <c r="D18" s="221"/>
      <c r="E18" s="246">
        <v>457232.72069999995</v>
      </c>
      <c r="F18" s="247"/>
      <c r="G18" s="246">
        <v>131189</v>
      </c>
      <c r="H18" s="252"/>
      <c r="I18" s="17"/>
    </row>
    <row r="19" spans="2:14" ht="15.75" customHeight="1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4" ht="30.75" customHeight="1" thickBot="1" x14ac:dyDescent="0.3">
      <c r="B20" s="97" t="s">
        <v>297</v>
      </c>
      <c r="C20" s="216">
        <f>E20+G20</f>
        <v>25857.409299999999</v>
      </c>
      <c r="D20" s="217"/>
      <c r="E20" s="248">
        <f>E17+E19-E18</f>
        <v>-31738.060699999973</v>
      </c>
      <c r="F20" s="254"/>
      <c r="G20" s="248">
        <f>G17-G18</f>
        <v>57595.469999999972</v>
      </c>
      <c r="H20" s="249"/>
      <c r="I20" s="17"/>
    </row>
    <row r="21" spans="2:14" x14ac:dyDescent="0.25">
      <c r="B21" s="83"/>
      <c r="C21" s="83"/>
      <c r="D21" s="102"/>
      <c r="E21" s="212"/>
      <c r="F21" s="212"/>
      <c r="G21" s="212"/>
      <c r="H21" s="212"/>
      <c r="I21" s="17"/>
    </row>
    <row r="22" spans="2:14" ht="24.7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I22" s="16"/>
      <c r="J22" s="16"/>
      <c r="L22" s="17"/>
      <c r="M22" s="312" t="s">
        <v>301</v>
      </c>
      <c r="N22" s="312" t="s">
        <v>302</v>
      </c>
    </row>
    <row r="23" spans="2:14" ht="35.25" customHeight="1" x14ac:dyDescent="0.25">
      <c r="B23" s="235" t="s">
        <v>196</v>
      </c>
      <c r="C23" s="237" t="s">
        <v>197</v>
      </c>
      <c r="D23" s="237" t="s">
        <v>198</v>
      </c>
      <c r="E23" s="239" t="s">
        <v>325</v>
      </c>
      <c r="F23" s="241" t="s">
        <v>199</v>
      </c>
      <c r="G23" s="242"/>
      <c r="H23" s="243" t="s">
        <v>227</v>
      </c>
      <c r="I23" s="18"/>
      <c r="J23" s="18"/>
      <c r="L23" s="17"/>
      <c r="M23" s="313"/>
      <c r="N23" s="313"/>
    </row>
    <row r="24" spans="2:14" ht="45" customHeight="1" thickBot="1" x14ac:dyDescent="0.3">
      <c r="B24" s="236"/>
      <c r="C24" s="238"/>
      <c r="D24" s="238"/>
      <c r="E24" s="240"/>
      <c r="F24" s="19" t="s">
        <v>187</v>
      </c>
      <c r="G24" s="20" t="s">
        <v>188</v>
      </c>
      <c r="H24" s="244"/>
      <c r="I24" s="18"/>
      <c r="J24" s="18"/>
      <c r="M24" s="314">
        <v>74939.210000000006</v>
      </c>
      <c r="N24" s="314">
        <f>M24*1.01</f>
        <v>75688.602100000004</v>
      </c>
    </row>
    <row r="25" spans="2:14" ht="50.25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7572.5035843660635</v>
      </c>
      <c r="G25" s="24">
        <f>$N$24/$N$25*E25</f>
        <v>7648.2286202097239</v>
      </c>
      <c r="H25" s="25">
        <f>F25-G25</f>
        <v>-75.725035843660407</v>
      </c>
      <c r="I25" s="26"/>
      <c r="J25" s="26"/>
      <c r="K25" s="27"/>
      <c r="L25" s="28"/>
      <c r="M25" s="315">
        <f>E34-E32</f>
        <v>10.49</v>
      </c>
      <c r="N25" s="315">
        <f>E34-E32</f>
        <v>10.49</v>
      </c>
    </row>
    <row r="26" spans="2:14" ht="56.25" x14ac:dyDescent="0.25">
      <c r="B26" s="29" t="s">
        <v>202</v>
      </c>
      <c r="C26" s="8" t="s">
        <v>223</v>
      </c>
      <c r="D26" s="22" t="s">
        <v>201</v>
      </c>
      <c r="E26" s="99">
        <v>0</v>
      </c>
      <c r="F26" s="23">
        <f>$M$24/$M$25*E26</f>
        <v>0</v>
      </c>
      <c r="G26" s="24">
        <f>$N$24/$N$25*E26</f>
        <v>0</v>
      </c>
      <c r="H26" s="25">
        <f t="shared" ref="H26:H31" si="0">F26-G26</f>
        <v>0</v>
      </c>
      <c r="I26" s="26"/>
      <c r="J26" s="26"/>
      <c r="K26" s="4"/>
      <c r="L26" s="4"/>
      <c r="M26" s="316"/>
      <c r="N26" s="316"/>
    </row>
    <row r="27" spans="2:14" ht="55.5" customHeight="1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2286.0388179218303</v>
      </c>
      <c r="G27" s="24">
        <f t="shared" ref="G27:G30" si="2">$N$24/$N$25*E27</f>
        <v>2308.8992061010485</v>
      </c>
      <c r="H27" s="25">
        <f t="shared" si="0"/>
        <v>-22.860388179218262</v>
      </c>
      <c r="I27" s="26"/>
      <c r="J27" s="26"/>
      <c r="L27" s="17"/>
    </row>
    <row r="28" spans="2:14" ht="29.25" customHeight="1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595.32260883381002</v>
      </c>
      <c r="G28" s="24">
        <f>($N$24/12*2)/$N$25*E28</f>
        <v>601.27583492214808</v>
      </c>
      <c r="H28" s="25">
        <f t="shared" si="0"/>
        <v>-5.9532260883380559</v>
      </c>
      <c r="I28" s="26"/>
      <c r="J28" s="26"/>
      <c r="L28" s="17"/>
    </row>
    <row r="29" spans="2:14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8429.7681410867481</v>
      </c>
      <c r="G29" s="24">
        <f t="shared" si="2"/>
        <v>8514.065822497616</v>
      </c>
      <c r="H29" s="25">
        <f t="shared" si="0"/>
        <v>-84.297681410867881</v>
      </c>
      <c r="I29" s="26"/>
      <c r="J29" s="26"/>
    </row>
    <row r="30" spans="2:14" ht="229.5" customHeight="1" x14ac:dyDescent="0.25">
      <c r="B30" s="29" t="s">
        <v>217</v>
      </c>
      <c r="C30" s="32" t="s">
        <v>204</v>
      </c>
      <c r="D30" s="22" t="s">
        <v>201</v>
      </c>
      <c r="E30" s="99">
        <v>5.61</v>
      </c>
      <c r="F30" s="23">
        <f t="shared" si="1"/>
        <v>40077.118026692093</v>
      </c>
      <c r="G30" s="24">
        <f t="shared" si="2"/>
        <v>40477.889206959007</v>
      </c>
      <c r="H30" s="25">
        <f t="shared" si="0"/>
        <v>-400.7711802669146</v>
      </c>
      <c r="I30" s="26"/>
      <c r="J30" s="26"/>
      <c r="K30" s="4"/>
      <c r="L30" s="3"/>
      <c r="M30" s="316"/>
      <c r="N30" s="316"/>
    </row>
    <row r="31" spans="2:14" ht="125.2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1357.3355481410867</v>
      </c>
      <c r="G31" s="24">
        <f t="shared" ref="G31" si="3">$N$24/$N$25*E31</f>
        <v>1370.9089036224977</v>
      </c>
      <c r="H31" s="25">
        <f t="shared" si="0"/>
        <v>-13.573355481410999</v>
      </c>
      <c r="I31" s="26"/>
      <c r="J31" s="26"/>
    </row>
    <row r="32" spans="2:14" ht="56.25" customHeight="1" x14ac:dyDescent="0.25">
      <c r="B32" s="30" t="s">
        <v>206</v>
      </c>
      <c r="C32" s="8" t="s">
        <v>223</v>
      </c>
      <c r="D32" s="22" t="s">
        <v>201</v>
      </c>
      <c r="E32" s="99">
        <v>5.16</v>
      </c>
      <c r="F32" s="23">
        <v>39905.71</v>
      </c>
      <c r="G32" s="6">
        <v>23414</v>
      </c>
      <c r="H32" s="25">
        <f>F32-G32</f>
        <v>16491.71</v>
      </c>
      <c r="I32" s="26"/>
      <c r="J32" s="26"/>
      <c r="L32" s="17"/>
    </row>
    <row r="33" spans="2:14" ht="16.5" thickBot="1" x14ac:dyDescent="0.3">
      <c r="B33" s="51" t="s">
        <v>186</v>
      </c>
      <c r="C33" s="52" t="s">
        <v>204</v>
      </c>
      <c r="D33" s="53" t="s">
        <v>201</v>
      </c>
      <c r="E33" s="103">
        <f>1.33+0.3</f>
        <v>1.6300000000000001</v>
      </c>
      <c r="F33" s="23">
        <f t="shared" si="1"/>
        <v>11644.510228789324</v>
      </c>
      <c r="G33" s="24">
        <f t="shared" ref="G33" si="4">$N$24/$N$25*E33</f>
        <v>11760.955331077217</v>
      </c>
      <c r="H33" s="33">
        <f>F33-G33</f>
        <v>-116.44510228789295</v>
      </c>
      <c r="I33" s="26"/>
      <c r="J33" s="26"/>
    </row>
    <row r="34" spans="2:14" ht="16.5" thickBot="1" x14ac:dyDescent="0.3">
      <c r="B34" s="54" t="s">
        <v>190</v>
      </c>
      <c r="C34" s="55"/>
      <c r="D34" s="55"/>
      <c r="E34" s="101">
        <f>SUM(E25:E33)</f>
        <v>15.65</v>
      </c>
      <c r="F34" s="56">
        <f>SUM(F25:F33)</f>
        <v>111868.30695583095</v>
      </c>
      <c r="G34" s="57">
        <f>SUM(G25:G33)</f>
        <v>96096.222925389258</v>
      </c>
      <c r="H34" s="38">
        <f>SUM(H25:H33)</f>
        <v>15772.084030441696</v>
      </c>
      <c r="I34" s="39"/>
      <c r="J34" s="39"/>
    </row>
    <row r="35" spans="2:14" x14ac:dyDescent="0.25">
      <c r="B35" s="17"/>
      <c r="C35" s="17"/>
      <c r="D35" s="17"/>
      <c r="E35" s="86"/>
      <c r="F35" s="86"/>
      <c r="G35" s="86"/>
      <c r="H35" s="82"/>
      <c r="I35" s="82"/>
      <c r="J35" s="82"/>
    </row>
    <row r="36" spans="2:14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40"/>
      <c r="J36" s="40"/>
    </row>
    <row r="37" spans="2:14" ht="44.2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41"/>
      <c r="J37" s="41"/>
      <c r="K37" s="42"/>
      <c r="L37" s="43"/>
      <c r="M37" s="317"/>
      <c r="N37" s="317"/>
    </row>
    <row r="38" spans="2:14" x14ac:dyDescent="0.25">
      <c r="B38" s="93" t="s">
        <v>15</v>
      </c>
      <c r="C38" s="222">
        <f>E38+G38</f>
        <v>766568.47695583093</v>
      </c>
      <c r="D38" s="223"/>
      <c r="E38" s="224">
        <f>F25+F26+F27+F28+F29+F30+F31+F33+E16</f>
        <v>520481.46695583093</v>
      </c>
      <c r="F38" s="225"/>
      <c r="G38" s="224">
        <f>F32+G16</f>
        <v>246087.00999999998</v>
      </c>
      <c r="H38" s="226"/>
      <c r="I38" s="212"/>
      <c r="J38" s="212"/>
      <c r="K38" s="9"/>
      <c r="L38" s="9"/>
      <c r="M38" s="318"/>
    </row>
    <row r="39" spans="2:14" x14ac:dyDescent="0.25">
      <c r="B39" s="94" t="s">
        <v>16</v>
      </c>
      <c r="C39" s="220">
        <f>E39+G39</f>
        <v>698748.1399999999</v>
      </c>
      <c r="D39" s="221"/>
      <c r="E39" s="220">
        <f>E17+62165.43</f>
        <v>476860.08999999997</v>
      </c>
      <c r="F39" s="221"/>
      <c r="G39" s="220">
        <f>G17+33103.58</f>
        <v>221888.05</v>
      </c>
      <c r="H39" s="251"/>
      <c r="I39" s="212"/>
      <c r="J39" s="212"/>
      <c r="K39" s="12"/>
      <c r="L39" s="9"/>
      <c r="M39" s="318"/>
    </row>
    <row r="40" spans="2:14" x14ac:dyDescent="0.25">
      <c r="B40" s="95" t="s">
        <v>189</v>
      </c>
      <c r="C40" s="220">
        <f>E40+G40</f>
        <v>684517.94362538925</v>
      </c>
      <c r="D40" s="221"/>
      <c r="E40" s="246">
        <f>G25+G26+G27+G28+G29+G30+G31+G33+E18</f>
        <v>529914.94362538925</v>
      </c>
      <c r="F40" s="247"/>
      <c r="G40" s="246">
        <f>G32+G18</f>
        <v>154603</v>
      </c>
      <c r="H40" s="252"/>
      <c r="I40" s="212"/>
      <c r="J40" s="212"/>
      <c r="K40" s="44"/>
      <c r="L40" s="44"/>
    </row>
    <row r="41" spans="2:14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212"/>
      <c r="J41" s="212"/>
      <c r="K41" s="44"/>
      <c r="L41" s="44"/>
    </row>
    <row r="42" spans="2:14" ht="36.75" thickBot="1" x14ac:dyDescent="0.3">
      <c r="B42" s="97" t="s">
        <v>298</v>
      </c>
      <c r="C42" s="216">
        <f>E42+G42</f>
        <v>28630.196374610707</v>
      </c>
      <c r="D42" s="217"/>
      <c r="E42" s="248">
        <f>E39+E41-E40</f>
        <v>-38654.853625389282</v>
      </c>
      <c r="F42" s="254"/>
      <c r="G42" s="248">
        <f>G39-G40</f>
        <v>67285.049999999988</v>
      </c>
      <c r="H42" s="249"/>
      <c r="I42" s="212"/>
      <c r="J42" s="212"/>
      <c r="K42" s="44"/>
      <c r="L42" s="44"/>
    </row>
    <row r="43" spans="2:14" ht="12" customHeight="1" x14ac:dyDescent="0.25">
      <c r="B43" s="83"/>
      <c r="C43" s="105"/>
      <c r="D43" s="105"/>
      <c r="E43" s="106"/>
      <c r="F43" s="85"/>
      <c r="G43" s="85"/>
      <c r="H43" s="205"/>
      <c r="I43" s="205"/>
      <c r="J43" s="205"/>
      <c r="K43" s="4"/>
      <c r="L43" s="4"/>
      <c r="M43" s="316"/>
      <c r="N43" s="316"/>
    </row>
    <row r="44" spans="2:14" ht="15" customHeight="1" x14ac:dyDescent="0.25">
      <c r="B44" s="205" t="s">
        <v>180</v>
      </c>
      <c r="C44" s="232" t="s">
        <v>308</v>
      </c>
      <c r="D44" s="232"/>
      <c r="E44" s="232"/>
      <c r="F44" s="230" t="s">
        <v>10</v>
      </c>
      <c r="G44" s="230"/>
      <c r="H44" s="210"/>
      <c r="I44" s="210"/>
      <c r="J44" s="210"/>
      <c r="K44" s="4"/>
      <c r="L44" s="4"/>
      <c r="M44" s="316"/>
      <c r="N44" s="316"/>
    </row>
    <row r="45" spans="2:14" ht="12.75" customHeight="1" x14ac:dyDescent="0.25">
      <c r="B45" s="205"/>
      <c r="C45" s="205"/>
      <c r="D45" s="205"/>
      <c r="E45" s="209"/>
      <c r="F45" s="231"/>
      <c r="G45" s="231"/>
      <c r="H45" s="205"/>
      <c r="I45" s="205"/>
      <c r="J45" s="205"/>
      <c r="K45" s="4"/>
      <c r="L45" s="4"/>
      <c r="M45" s="316"/>
      <c r="N45" s="316"/>
    </row>
    <row r="46" spans="2:14" ht="13.5" customHeight="1" x14ac:dyDescent="0.25">
      <c r="B46" s="205" t="s">
        <v>181</v>
      </c>
      <c r="C46" s="232" t="s">
        <v>308</v>
      </c>
      <c r="D46" s="232"/>
      <c r="E46" s="232"/>
      <c r="F46" s="230" t="s">
        <v>208</v>
      </c>
      <c r="G46" s="230"/>
      <c r="H46" s="205"/>
      <c r="I46" s="205"/>
      <c r="J46" s="205"/>
    </row>
    <row r="47" spans="2:14" ht="11.25" customHeight="1" x14ac:dyDescent="0.25">
      <c r="B47" s="205"/>
      <c r="C47" s="205"/>
      <c r="D47" s="205"/>
      <c r="E47" s="209"/>
      <c r="F47" s="230"/>
      <c r="G47" s="230"/>
      <c r="H47" s="205"/>
      <c r="I47" s="205"/>
      <c r="J47" s="205"/>
    </row>
    <row r="48" spans="2:14" ht="16.5" customHeight="1" x14ac:dyDescent="0.25">
      <c r="B48" s="205" t="s">
        <v>182</v>
      </c>
      <c r="C48" s="232" t="s">
        <v>308</v>
      </c>
      <c r="D48" s="232"/>
      <c r="E48" s="232"/>
      <c r="F48" s="230" t="s">
        <v>209</v>
      </c>
      <c r="G48" s="230"/>
      <c r="H48" s="48"/>
      <c r="I48" s="48"/>
      <c r="J48" s="48"/>
    </row>
    <row r="49" spans="2:7" ht="9" customHeight="1" x14ac:dyDescent="0.25">
      <c r="B49" s="45"/>
      <c r="C49" s="45"/>
      <c r="D49" s="45"/>
      <c r="E49" s="209"/>
      <c r="F49" s="46"/>
      <c r="G49" s="47"/>
    </row>
    <row r="50" spans="2:7" x14ac:dyDescent="0.25">
      <c r="B50" s="205" t="s">
        <v>183</v>
      </c>
      <c r="C50" s="232" t="s">
        <v>308</v>
      </c>
      <c r="D50" s="232"/>
      <c r="E50" s="232"/>
      <c r="F50" s="230" t="s">
        <v>209</v>
      </c>
      <c r="G50" s="230"/>
    </row>
    <row r="51" spans="2:7" x14ac:dyDescent="0.25">
      <c r="B51" s="49"/>
      <c r="C51" s="49"/>
      <c r="D51" s="87"/>
      <c r="E51" s="87"/>
      <c r="F51" s="88"/>
      <c r="G51" s="88"/>
    </row>
  </sheetData>
  <mergeCells count="60">
    <mergeCell ref="C48:E48"/>
    <mergeCell ref="F48:G48"/>
    <mergeCell ref="C50:E50"/>
    <mergeCell ref="F50:G50"/>
    <mergeCell ref="E19:F19"/>
    <mergeCell ref="G19:H19"/>
    <mergeCell ref="E20:F20"/>
    <mergeCell ref="G20:H20"/>
    <mergeCell ref="C19:D19"/>
    <mergeCell ref="C20:D20"/>
    <mergeCell ref="G40:H40"/>
    <mergeCell ref="E41:F41"/>
    <mergeCell ref="G41:H41"/>
    <mergeCell ref="C40:D40"/>
    <mergeCell ref="C41:D41"/>
    <mergeCell ref="E40:F40"/>
    <mergeCell ref="C16:D16"/>
    <mergeCell ref="E17:F17"/>
    <mergeCell ref="G17:H17"/>
    <mergeCell ref="E18:F18"/>
    <mergeCell ref="G18:H18"/>
    <mergeCell ref="C17:D17"/>
    <mergeCell ref="C18:D18"/>
    <mergeCell ref="B1:H1"/>
    <mergeCell ref="B22:H22"/>
    <mergeCell ref="B23:B24"/>
    <mergeCell ref="C23:C24"/>
    <mergeCell ref="D23:D24"/>
    <mergeCell ref="E23:E24"/>
    <mergeCell ref="F23:G23"/>
    <mergeCell ref="H23:H24"/>
    <mergeCell ref="B2:H3"/>
    <mergeCell ref="D5:E5"/>
    <mergeCell ref="B14:H14"/>
    <mergeCell ref="E15:F15"/>
    <mergeCell ref="G15:H15"/>
    <mergeCell ref="E16:F16"/>
    <mergeCell ref="G16:H16"/>
    <mergeCell ref="C15:D15"/>
    <mergeCell ref="M22:M23"/>
    <mergeCell ref="N22:N23"/>
    <mergeCell ref="C37:D37"/>
    <mergeCell ref="C38:D38"/>
    <mergeCell ref="C39:D39"/>
    <mergeCell ref="G37:H37"/>
    <mergeCell ref="E38:F38"/>
    <mergeCell ref="G38:H38"/>
    <mergeCell ref="E39:F39"/>
    <mergeCell ref="G39:H39"/>
    <mergeCell ref="E37:F37"/>
    <mergeCell ref="B36:H36"/>
    <mergeCell ref="E42:F42"/>
    <mergeCell ref="G42:H42"/>
    <mergeCell ref="C42:D42"/>
    <mergeCell ref="F47:G47"/>
    <mergeCell ref="F44:G44"/>
    <mergeCell ref="F45:G45"/>
    <mergeCell ref="F46:G46"/>
    <mergeCell ref="C44:E44"/>
    <mergeCell ref="C46:E46"/>
  </mergeCells>
  <pageMargins left="0.35" right="0.19685039370078741" top="0.16" bottom="0.31496062992125984" header="0.55118110236220474" footer="0.31496062992125984"/>
  <pageSetup paperSize="9" scale="4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O61"/>
  <sheetViews>
    <sheetView zoomScale="110" zoomScaleNormal="110" workbookViewId="0">
      <selection activeCell="N1" sqref="N1:O1048576"/>
    </sheetView>
  </sheetViews>
  <sheetFormatPr defaultColWidth="9.140625" defaultRowHeight="15.75" outlineLevelRow="1" x14ac:dyDescent="0.25"/>
  <cols>
    <col min="1" max="1" width="2.85546875" style="5" customWidth="1"/>
    <col min="2" max="2" width="56" style="5" customWidth="1"/>
    <col min="3" max="3" width="20.140625" style="86" customWidth="1"/>
    <col min="4" max="4" width="8.85546875" style="82" customWidth="1"/>
    <col min="5" max="5" width="9.5703125" style="82" customWidth="1"/>
    <col min="6" max="6" width="9.7109375" style="82" customWidth="1"/>
    <col min="7" max="7" width="10.28515625" style="5" customWidth="1"/>
    <col min="8" max="8" width="10.42578125" style="88" customWidth="1"/>
    <col min="9" max="9" width="9.5703125" style="5" bestFit="1" customWidth="1"/>
    <col min="10" max="12" width="9.5703125" style="5" customWidth="1"/>
    <col min="13" max="13" width="10.85546875" style="5" customWidth="1"/>
    <col min="14" max="14" width="17.7109375" style="310" customWidth="1"/>
    <col min="15" max="15" width="16.5703125" style="310" customWidth="1"/>
    <col min="16" max="16384" width="9.140625" style="5"/>
  </cols>
  <sheetData>
    <row r="1" spans="2:8" x14ac:dyDescent="0.25">
      <c r="B1" s="255" t="s">
        <v>211</v>
      </c>
      <c r="C1" s="255"/>
      <c r="D1" s="255"/>
      <c r="E1" s="255"/>
      <c r="F1" s="255"/>
      <c r="G1" s="255"/>
      <c r="H1" s="255"/>
    </row>
    <row r="2" spans="2:8" ht="24" customHeight="1" x14ac:dyDescent="0.25">
      <c r="B2" s="265" t="s">
        <v>323</v>
      </c>
      <c r="C2" s="265"/>
      <c r="D2" s="265"/>
      <c r="E2" s="265"/>
      <c r="F2" s="265"/>
      <c r="G2" s="265"/>
      <c r="H2" s="265"/>
    </row>
    <row r="3" spans="2:8" ht="11.25" customHeight="1" x14ac:dyDescent="0.25">
      <c r="B3" s="265"/>
      <c r="C3" s="265"/>
      <c r="D3" s="265"/>
      <c r="E3" s="265"/>
      <c r="F3" s="265"/>
      <c r="G3" s="265"/>
      <c r="H3" s="265"/>
    </row>
    <row r="4" spans="2:8" ht="11.25" customHeight="1" x14ac:dyDescent="0.35">
      <c r="B4" s="211"/>
      <c r="C4" s="211"/>
      <c r="D4" s="211"/>
      <c r="E4" s="211"/>
      <c r="F4" s="211"/>
      <c r="G4" s="211"/>
      <c r="H4" s="211"/>
    </row>
    <row r="5" spans="2:8" x14ac:dyDescent="0.25">
      <c r="B5" s="10" t="s">
        <v>0</v>
      </c>
      <c r="C5" s="125"/>
      <c r="D5" s="234" t="s">
        <v>20</v>
      </c>
      <c r="E5" s="234"/>
    </row>
    <row r="6" spans="2:8" x14ac:dyDescent="0.25">
      <c r="B6" s="10" t="s">
        <v>1</v>
      </c>
      <c r="C6" s="125"/>
      <c r="D6" s="207">
        <v>1961</v>
      </c>
      <c r="E6" s="207"/>
    </row>
    <row r="7" spans="2:8" hidden="1" outlineLevel="1" x14ac:dyDescent="0.25">
      <c r="B7" s="10" t="s">
        <v>2</v>
      </c>
      <c r="C7" s="125"/>
      <c r="D7" s="207">
        <v>2</v>
      </c>
      <c r="E7" s="207"/>
    </row>
    <row r="8" spans="2:8" hidden="1" outlineLevel="1" x14ac:dyDescent="0.25">
      <c r="B8" s="10" t="s">
        <v>3</v>
      </c>
      <c r="C8" s="125"/>
      <c r="D8" s="207">
        <v>8</v>
      </c>
      <c r="E8" s="207"/>
    </row>
    <row r="9" spans="2:8" ht="26.25" hidden="1" outlineLevel="1" x14ac:dyDescent="0.25">
      <c r="B9" s="122" t="s">
        <v>4</v>
      </c>
      <c r="C9" s="126"/>
      <c r="D9" s="207" t="s">
        <v>21</v>
      </c>
      <c r="E9" s="207"/>
    </row>
    <row r="10" spans="2:8" collapsed="1" x14ac:dyDescent="0.25">
      <c r="B10" s="10" t="s">
        <v>5</v>
      </c>
      <c r="C10" s="125"/>
      <c r="D10" s="207" t="s">
        <v>230</v>
      </c>
      <c r="E10" s="207"/>
    </row>
    <row r="11" spans="2:8" hidden="1" outlineLevel="1" x14ac:dyDescent="0.25">
      <c r="B11" s="5" t="s">
        <v>6</v>
      </c>
      <c r="D11" s="208" t="s">
        <v>13</v>
      </c>
      <c r="E11" s="208"/>
    </row>
    <row r="12" spans="2:8" ht="31.5" hidden="1" customHeight="1" outlineLevel="1" x14ac:dyDescent="0.25">
      <c r="B12" s="14" t="s">
        <v>7</v>
      </c>
      <c r="C12" s="58"/>
      <c r="D12" s="91" t="s">
        <v>22</v>
      </c>
      <c r="E12" s="208"/>
    </row>
    <row r="13" spans="2:8" ht="12" customHeight="1" collapsed="1" x14ac:dyDescent="0.25">
      <c r="B13" s="14"/>
      <c r="C13" s="58"/>
      <c r="D13" s="91"/>
      <c r="E13" s="208"/>
    </row>
    <row r="14" spans="2:8" ht="16.5" thickBot="1" x14ac:dyDescent="0.3">
      <c r="B14" s="260" t="s">
        <v>313</v>
      </c>
      <c r="C14" s="260"/>
      <c r="D14" s="260"/>
      <c r="E14" s="260"/>
      <c r="F14" s="260"/>
      <c r="G14" s="260"/>
      <c r="H14" s="260"/>
    </row>
    <row r="15" spans="2:8" ht="51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</row>
    <row r="16" spans="2:8" x14ac:dyDescent="0.25">
      <c r="B16" s="93" t="s">
        <v>15</v>
      </c>
      <c r="C16" s="222">
        <v>392934.16000000003</v>
      </c>
      <c r="D16" s="253"/>
      <c r="E16" s="224">
        <v>250311.59000000003</v>
      </c>
      <c r="F16" s="225"/>
      <c r="G16" s="224">
        <v>142622.57</v>
      </c>
      <c r="H16" s="226"/>
    </row>
    <row r="17" spans="2:15" x14ac:dyDescent="0.25">
      <c r="B17" s="94" t="s">
        <v>16</v>
      </c>
      <c r="C17" s="220">
        <v>388675.41</v>
      </c>
      <c r="D17" s="221"/>
      <c r="E17" s="220">
        <v>248098.68</v>
      </c>
      <c r="F17" s="221"/>
      <c r="G17" s="220">
        <v>140576.72999999998</v>
      </c>
      <c r="H17" s="251"/>
    </row>
    <row r="18" spans="2:15" ht="16.5" thickBot="1" x14ac:dyDescent="0.3">
      <c r="B18" s="95" t="s">
        <v>189</v>
      </c>
      <c r="C18" s="220">
        <v>414385.20500000002</v>
      </c>
      <c r="D18" s="221"/>
      <c r="E18" s="246">
        <v>263636.20500000002</v>
      </c>
      <c r="F18" s="247"/>
      <c r="G18" s="246">
        <v>150749</v>
      </c>
      <c r="H18" s="252"/>
    </row>
    <row r="19" spans="2:15" ht="30" customHeight="1" thickBot="1" x14ac:dyDescent="0.3">
      <c r="B19" s="97" t="s">
        <v>297</v>
      </c>
      <c r="C19" s="216">
        <f>E19+G19</f>
        <v>-25709.795000000042</v>
      </c>
      <c r="D19" s="217"/>
      <c r="E19" s="248">
        <f>E17-E18</f>
        <v>-15537.525000000023</v>
      </c>
      <c r="F19" s="254"/>
      <c r="G19" s="248">
        <f>G17-G18</f>
        <v>-10172.270000000019</v>
      </c>
      <c r="H19" s="249"/>
    </row>
    <row r="20" spans="2:15" x14ac:dyDescent="0.25">
      <c r="B20" s="104"/>
      <c r="C20" s="104"/>
      <c r="D20" s="105"/>
      <c r="E20" s="106"/>
      <c r="F20" s="106"/>
      <c r="G20" s="106"/>
      <c r="H20" s="106"/>
    </row>
    <row r="21" spans="2:15" ht="21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M21" s="17"/>
      <c r="N21" s="312" t="s">
        <v>301</v>
      </c>
      <c r="O21" s="312" t="s">
        <v>302</v>
      </c>
    </row>
    <row r="22" spans="2:15" ht="27.7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M22" s="17"/>
      <c r="N22" s="313"/>
      <c r="O22" s="313"/>
    </row>
    <row r="23" spans="2:15" ht="4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N23" s="314">
        <v>41334.68</v>
      </c>
      <c r="O23" s="314">
        <f>N23*1.01</f>
        <v>41748.0268</v>
      </c>
    </row>
    <row r="24" spans="2:15" ht="67.5" customHeight="1" x14ac:dyDescent="0.25">
      <c r="B24" s="21" t="s">
        <v>191</v>
      </c>
      <c r="C24" s="8" t="s">
        <v>223</v>
      </c>
      <c r="D24" s="22" t="s">
        <v>201</v>
      </c>
      <c r="E24" s="98">
        <v>0</v>
      </c>
      <c r="F24" s="23">
        <f>$N$23/$N$24*E24</f>
        <v>0</v>
      </c>
      <c r="G24" s="24">
        <f>$O$23/$O$24*E24</f>
        <v>0</v>
      </c>
      <c r="H24" s="25">
        <f>F24-G24</f>
        <v>0</v>
      </c>
      <c r="I24" s="27"/>
      <c r="J24" s="27"/>
      <c r="K24" s="27"/>
      <c r="L24" s="27"/>
      <c r="M24" s="28"/>
      <c r="N24" s="315">
        <f>E33-E31</f>
        <v>9.68</v>
      </c>
      <c r="O24" s="315">
        <f>E33-E31</f>
        <v>9.68</v>
      </c>
    </row>
    <row r="25" spans="2:15" ht="63" customHeight="1" x14ac:dyDescent="0.25">
      <c r="B25" s="29" t="s">
        <v>202</v>
      </c>
      <c r="C25" s="8" t="s">
        <v>223</v>
      </c>
      <c r="D25" s="22" t="s">
        <v>201</v>
      </c>
      <c r="E25" s="99">
        <v>0</v>
      </c>
      <c r="F25" s="23">
        <f>$N$23/$N$24*E25</f>
        <v>0</v>
      </c>
      <c r="G25" s="24">
        <f>$O$23/$O$24*E25</f>
        <v>0</v>
      </c>
      <c r="H25" s="25">
        <f t="shared" ref="H25:H30" si="0">F25-G25</f>
        <v>0</v>
      </c>
      <c r="I25" s="4"/>
      <c r="J25" s="4"/>
      <c r="K25" s="4"/>
      <c r="L25" s="4"/>
      <c r="M25" s="4"/>
      <c r="N25" s="316"/>
      <c r="O25" s="316"/>
    </row>
    <row r="26" spans="2:15" ht="63.7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$N$23/$N$24*E26</f>
        <v>1366.4357024793387</v>
      </c>
      <c r="G26" s="24">
        <f t="shared" ref="G26:G29" si="2">$O$23/$O$24*E26</f>
        <v>1380.1000595041323</v>
      </c>
      <c r="H26" s="25">
        <f t="shared" si="0"/>
        <v>-13.664357024793617</v>
      </c>
      <c r="M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($N$23/12*2)/$N$24*E27</f>
        <v>355.84263085399454</v>
      </c>
      <c r="G27" s="24">
        <f>($O$23/12*2)/$O$24*E27</f>
        <v>359.40105716253441</v>
      </c>
      <c r="H27" s="25">
        <f t="shared" si="0"/>
        <v>-3.5584263085398788</v>
      </c>
      <c r="M27" s="17"/>
    </row>
    <row r="28" spans="2:15" ht="63.75" customHeight="1" x14ac:dyDescent="0.25">
      <c r="B28" s="29" t="s">
        <v>192</v>
      </c>
      <c r="C28" s="8" t="s">
        <v>223</v>
      </c>
      <c r="D28" s="22" t="s">
        <v>201</v>
      </c>
      <c r="E28" s="99">
        <v>1.18</v>
      </c>
      <c r="F28" s="23">
        <f>($N$23/12*6)/$N$24*E28</f>
        <v>2519.3658264462806</v>
      </c>
      <c r="G28" s="24">
        <f>($O$23/12*6)/$O$24*E28</f>
        <v>2544.5594847107441</v>
      </c>
      <c r="H28" s="25">
        <f t="shared" si="0"/>
        <v>-25.193658264463465</v>
      </c>
    </row>
    <row r="29" spans="2:15" ht="213" customHeight="1" x14ac:dyDescent="0.25">
      <c r="B29" s="29" t="s">
        <v>216</v>
      </c>
      <c r="C29" s="32" t="s">
        <v>204</v>
      </c>
      <c r="D29" s="22" t="s">
        <v>201</v>
      </c>
      <c r="E29" s="99">
        <v>5.61</v>
      </c>
      <c r="F29" s="23">
        <f t="shared" si="1"/>
        <v>23955.325909090909</v>
      </c>
      <c r="G29" s="24">
        <f t="shared" si="2"/>
        <v>24194.879168181822</v>
      </c>
      <c r="H29" s="25">
        <f t="shared" si="0"/>
        <v>-239.55325909091334</v>
      </c>
      <c r="I29" s="4"/>
      <c r="J29" s="4"/>
      <c r="K29" s="4"/>
      <c r="L29" s="4"/>
      <c r="M29" s="3"/>
      <c r="N29" s="316"/>
      <c r="O29" s="316"/>
    </row>
    <row r="30" spans="2:15" ht="117" customHeight="1" x14ac:dyDescent="0.25">
      <c r="B30" s="29" t="s">
        <v>205</v>
      </c>
      <c r="C30" s="8" t="s">
        <v>223</v>
      </c>
      <c r="D30" s="22" t="s">
        <v>201</v>
      </c>
      <c r="E30" s="99">
        <v>0.24</v>
      </c>
      <c r="F30" s="23">
        <f t="shared" si="1"/>
        <v>1024.826776859504</v>
      </c>
      <c r="G30" s="24">
        <f t="shared" ref="G30" si="3">$O$23/$O$24*E30</f>
        <v>1035.0750446280992</v>
      </c>
      <c r="H30" s="25">
        <f t="shared" si="0"/>
        <v>-10.248267768595269</v>
      </c>
    </row>
    <row r="31" spans="2:15" ht="66.75" customHeight="1" x14ac:dyDescent="0.25">
      <c r="B31" s="30" t="s">
        <v>206</v>
      </c>
      <c r="C31" s="8" t="s">
        <v>223</v>
      </c>
      <c r="D31" s="22" t="s">
        <v>201</v>
      </c>
      <c r="E31" s="99">
        <v>5.14</v>
      </c>
      <c r="F31" s="23">
        <v>23450.36</v>
      </c>
      <c r="G31" s="6">
        <v>8872</v>
      </c>
      <c r="H31" s="25">
        <f>F31-G31</f>
        <v>14578.36</v>
      </c>
      <c r="M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1.55+0.28</f>
        <v>1.83</v>
      </c>
      <c r="F32" s="23">
        <f t="shared" si="1"/>
        <v>7814.304173553719</v>
      </c>
      <c r="G32" s="24">
        <f t="shared" ref="G32" si="4">$O$23/$O$24*E32</f>
        <v>7892.4472152892577</v>
      </c>
      <c r="H32" s="33">
        <f>F32-G32</f>
        <v>-78.143041735538645</v>
      </c>
    </row>
    <row r="33" spans="2:15" ht="16.5" thickBot="1" x14ac:dyDescent="0.3">
      <c r="B33" s="54" t="s">
        <v>190</v>
      </c>
      <c r="C33" s="55"/>
      <c r="D33" s="55"/>
      <c r="E33" s="101">
        <f>SUM(E24:E32)</f>
        <v>14.82</v>
      </c>
      <c r="F33" s="56">
        <f>SUM(F24:F32)</f>
        <v>60486.46101928375</v>
      </c>
      <c r="G33" s="57">
        <f>SUM(G24:G32)</f>
        <v>46278.462029476592</v>
      </c>
      <c r="H33" s="38">
        <f>SUM(H24:H32)</f>
        <v>14207.998989807156</v>
      </c>
    </row>
    <row r="34" spans="2:15" x14ac:dyDescent="0.25">
      <c r="B34" s="17"/>
      <c r="C34" s="17"/>
      <c r="D34" s="17"/>
      <c r="E34" s="86"/>
      <c r="F34" s="86"/>
      <c r="G34" s="86"/>
      <c r="H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</row>
    <row r="36" spans="2:15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2"/>
      <c r="J36" s="42"/>
      <c r="K36" s="42"/>
      <c r="L36" s="42"/>
      <c r="M36" s="43"/>
      <c r="N36" s="319"/>
      <c r="O36" s="317"/>
    </row>
    <row r="37" spans="2:15" x14ac:dyDescent="0.25">
      <c r="B37" s="93" t="s">
        <v>15</v>
      </c>
      <c r="C37" s="222">
        <f>E37+G37</f>
        <v>453420.62101928378</v>
      </c>
      <c r="D37" s="223"/>
      <c r="E37" s="224">
        <f>F24+F25+F26+F27+F28+F29+F30+F32+E16</f>
        <v>287347.69101928378</v>
      </c>
      <c r="F37" s="225"/>
      <c r="G37" s="224">
        <f>F31+G16</f>
        <v>166072.93</v>
      </c>
      <c r="H37" s="226"/>
      <c r="I37" s="44"/>
      <c r="J37" s="44"/>
      <c r="K37" s="44"/>
      <c r="L37" s="44"/>
      <c r="M37" s="44"/>
      <c r="N37" s="320"/>
      <c r="O37" s="318"/>
    </row>
    <row r="38" spans="2:15" x14ac:dyDescent="0.25">
      <c r="B38" s="94" t="s">
        <v>16</v>
      </c>
      <c r="C38" s="220">
        <f>E38+G38</f>
        <v>450378.81</v>
      </c>
      <c r="D38" s="221"/>
      <c r="E38" s="220">
        <f>E17+39368.51</f>
        <v>287467.19</v>
      </c>
      <c r="F38" s="221"/>
      <c r="G38" s="220">
        <f>G17+22334.89</f>
        <v>162911.62</v>
      </c>
      <c r="H38" s="251"/>
      <c r="I38" s="62"/>
      <c r="J38" s="62"/>
      <c r="K38" s="62"/>
      <c r="L38" s="62"/>
      <c r="M38" s="44"/>
      <c r="N38" s="320"/>
      <c r="O38" s="318"/>
    </row>
    <row r="39" spans="2:15" ht="16.5" thickBot="1" x14ac:dyDescent="0.3">
      <c r="B39" s="95" t="s">
        <v>189</v>
      </c>
      <c r="C39" s="227">
        <f>E39+G39</f>
        <v>460663.66702947661</v>
      </c>
      <c r="D39" s="228"/>
      <c r="E39" s="246">
        <f>G24+G25+G26+G27+G28+G29+G30+G32+E18</f>
        <v>301042.66702947661</v>
      </c>
      <c r="F39" s="247"/>
      <c r="G39" s="246">
        <f>G31+G18</f>
        <v>159621</v>
      </c>
      <c r="H39" s="252"/>
      <c r="I39" s="44"/>
      <c r="J39" s="44"/>
      <c r="K39" s="44"/>
      <c r="L39" s="44"/>
      <c r="M39" s="44"/>
    </row>
    <row r="40" spans="2:15" ht="36.75" thickBot="1" x14ac:dyDescent="0.3">
      <c r="B40" s="97" t="s">
        <v>298</v>
      </c>
      <c r="C40" s="216">
        <f>E40+G40</f>
        <v>-10284.85702947661</v>
      </c>
      <c r="D40" s="217"/>
      <c r="E40" s="248">
        <f>E38-E39</f>
        <v>-13575.477029476606</v>
      </c>
      <c r="F40" s="254"/>
      <c r="G40" s="248">
        <f>G38-G39</f>
        <v>3290.6199999999953</v>
      </c>
      <c r="H40" s="249"/>
      <c r="I40" s="44"/>
      <c r="J40" s="44"/>
      <c r="K40" s="44"/>
      <c r="L40" s="44"/>
      <c r="M40" s="44"/>
    </row>
    <row r="41" spans="2:15" ht="25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205"/>
      <c r="I41" s="4"/>
      <c r="J41" s="4"/>
      <c r="K41" s="4"/>
      <c r="L41" s="4"/>
      <c r="M41" s="4"/>
      <c r="N41" s="316"/>
      <c r="O41" s="316"/>
    </row>
    <row r="42" spans="2:15" ht="11.25" customHeight="1" x14ac:dyDescent="0.25">
      <c r="B42" s="205"/>
      <c r="C42" s="205"/>
      <c r="D42" s="205"/>
      <c r="E42" s="209"/>
      <c r="F42" s="231"/>
      <c r="G42" s="231"/>
      <c r="H42" s="210"/>
      <c r="I42" s="4"/>
      <c r="J42" s="4"/>
      <c r="K42" s="4"/>
      <c r="L42" s="4"/>
      <c r="M42" s="4"/>
      <c r="N42" s="316"/>
      <c r="O42" s="316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205"/>
      <c r="I43" s="4"/>
      <c r="J43" s="4"/>
      <c r="K43" s="4"/>
      <c r="L43" s="4"/>
      <c r="M43" s="4"/>
      <c r="N43" s="316"/>
      <c r="O43" s="316"/>
    </row>
    <row r="44" spans="2:15" ht="9.75" customHeight="1" x14ac:dyDescent="0.25">
      <c r="B44" s="205"/>
      <c r="C44" s="205"/>
      <c r="D44" s="205"/>
      <c r="E44" s="209"/>
      <c r="F44" s="230"/>
      <c r="G44" s="230"/>
      <c r="H44" s="205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205"/>
    </row>
    <row r="46" spans="2:15" ht="8.25" customHeight="1" x14ac:dyDescent="0.25">
      <c r="B46" s="45"/>
      <c r="C46" s="45"/>
      <c r="D46" s="45"/>
      <c r="E46" s="209"/>
      <c r="F46" s="46"/>
      <c r="G46" s="47"/>
      <c r="H46" s="48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5"/>
    </row>
    <row r="48" spans="2:15" ht="9" customHeight="1" x14ac:dyDescent="0.25">
      <c r="B48" s="49"/>
      <c r="C48" s="49"/>
      <c r="D48" s="49"/>
      <c r="E48" s="209"/>
      <c r="F48" s="229"/>
      <c r="G48" s="229"/>
      <c r="H48" s="5"/>
    </row>
    <row r="49" spans="5:8" x14ac:dyDescent="0.25">
      <c r="E49" s="50"/>
      <c r="F49" s="5"/>
      <c r="H49" s="5"/>
    </row>
    <row r="50" spans="5:8" x14ac:dyDescent="0.25">
      <c r="F50" s="5"/>
      <c r="H50" s="5"/>
    </row>
    <row r="51" spans="5:8" x14ac:dyDescent="0.25">
      <c r="F51" s="5"/>
      <c r="H51" s="5"/>
    </row>
    <row r="52" spans="5:8" x14ac:dyDescent="0.25">
      <c r="F52" s="5"/>
      <c r="H52" s="5"/>
    </row>
    <row r="53" spans="5:8" x14ac:dyDescent="0.25">
      <c r="F53" s="5"/>
      <c r="H53" s="5"/>
    </row>
    <row r="54" spans="5:8" x14ac:dyDescent="0.25">
      <c r="F54" s="5"/>
      <c r="H54" s="5"/>
    </row>
    <row r="55" spans="5:8" x14ac:dyDescent="0.25">
      <c r="F55" s="5"/>
      <c r="H55" s="5"/>
    </row>
    <row r="56" spans="5:8" x14ac:dyDescent="0.25">
      <c r="F56" s="5"/>
      <c r="H56" s="5"/>
    </row>
    <row r="57" spans="5:8" x14ac:dyDescent="0.25">
      <c r="F57" s="5"/>
      <c r="H57" s="5"/>
    </row>
    <row r="58" spans="5:8" x14ac:dyDescent="0.25">
      <c r="F58" s="5"/>
      <c r="H58" s="5"/>
    </row>
    <row r="59" spans="5:8" x14ac:dyDescent="0.25">
      <c r="F59" s="5"/>
      <c r="H59" s="5"/>
    </row>
    <row r="60" spans="5:8" x14ac:dyDescent="0.25">
      <c r="F60" s="5"/>
      <c r="H60" s="5"/>
    </row>
    <row r="61" spans="5:8" x14ac:dyDescent="0.25">
      <c r="F61" s="5"/>
      <c r="H61" s="5"/>
    </row>
  </sheetData>
  <mergeCells count="55">
    <mergeCell ref="C43:E43"/>
    <mergeCell ref="C45:E45"/>
    <mergeCell ref="C47:E47"/>
    <mergeCell ref="C16:D16"/>
    <mergeCell ref="C17:D17"/>
    <mergeCell ref="C18:D18"/>
    <mergeCell ref="C19:D19"/>
    <mergeCell ref="E16:F16"/>
    <mergeCell ref="F41:G41"/>
    <mergeCell ref="E38:F38"/>
    <mergeCell ref="E39:F39"/>
    <mergeCell ref="E40:F40"/>
    <mergeCell ref="G40:H40"/>
    <mergeCell ref="G39:H39"/>
    <mergeCell ref="C41:E41"/>
    <mergeCell ref="C39:D39"/>
    <mergeCell ref="B1:H1"/>
    <mergeCell ref="B2:H3"/>
    <mergeCell ref="B14:H14"/>
    <mergeCell ref="E15:F15"/>
    <mergeCell ref="G15:H15"/>
    <mergeCell ref="D5:E5"/>
    <mergeCell ref="C15:D15"/>
    <mergeCell ref="G16:H16"/>
    <mergeCell ref="E19:F19"/>
    <mergeCell ref="G19:H19"/>
    <mergeCell ref="E17:F17"/>
    <mergeCell ref="G17:H17"/>
    <mergeCell ref="E18:F18"/>
    <mergeCell ref="G18:H18"/>
    <mergeCell ref="F48:G48"/>
    <mergeCell ref="F45:G45"/>
    <mergeCell ref="F47:G47"/>
    <mergeCell ref="F42:G42"/>
    <mergeCell ref="F43:G43"/>
    <mergeCell ref="F44:G44"/>
    <mergeCell ref="C40:D40"/>
    <mergeCell ref="C22:C23"/>
    <mergeCell ref="D22:D23"/>
    <mergeCell ref="N21:N22"/>
    <mergeCell ref="B21:H21"/>
    <mergeCell ref="O21:O22"/>
    <mergeCell ref="C37:D37"/>
    <mergeCell ref="C36:D36"/>
    <mergeCell ref="C38:D38"/>
    <mergeCell ref="G38:H38"/>
    <mergeCell ref="B35:H35"/>
    <mergeCell ref="E36:F36"/>
    <mergeCell ref="G36:H36"/>
    <mergeCell ref="E37:F37"/>
    <mergeCell ref="G37:H37"/>
    <mergeCell ref="B22:B23"/>
    <mergeCell ref="H22:H23"/>
    <mergeCell ref="E22:E23"/>
    <mergeCell ref="F22:G22"/>
  </mergeCells>
  <pageMargins left="0.19685039370078741" right="0.19685039370078741" top="0.16" bottom="0.23622047244094491" header="0.16" footer="0.25"/>
  <pageSetup paperSize="9" scale="4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0"/>
  <sheetViews>
    <sheetView topLeftCell="A16" zoomScale="110" zoomScaleNormal="110" workbookViewId="0">
      <selection activeCell="M16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42578125" style="5" customWidth="1"/>
    <col min="3" max="3" width="21.5703125" style="63" customWidth="1"/>
    <col min="4" max="4" width="9.140625" style="82" customWidth="1"/>
    <col min="5" max="5" width="9.42578125" style="82" customWidth="1"/>
    <col min="6" max="6" width="10.42578125" style="82" customWidth="1"/>
    <col min="7" max="7" width="10.42578125" style="5" customWidth="1"/>
    <col min="8" max="8" width="10.5703125" style="82" customWidth="1"/>
    <col min="9" max="9" width="10.7109375" style="5" bestFit="1" customWidth="1"/>
    <col min="10" max="10" width="12.140625" style="5" customWidth="1"/>
    <col min="11" max="11" width="13.85546875" style="5" customWidth="1"/>
    <col min="12" max="12" width="14.28515625" style="5" customWidth="1"/>
    <col min="13" max="13" width="16.7109375" style="310" customWidth="1"/>
    <col min="14" max="14" width="14.855468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3.25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13.5" customHeight="1" x14ac:dyDescent="0.25"/>
    <row r="5" spans="1:9" x14ac:dyDescent="0.25">
      <c r="B5" s="10" t="s">
        <v>0</v>
      </c>
      <c r="C5" s="127"/>
      <c r="D5" s="234" t="s">
        <v>23</v>
      </c>
      <c r="E5" s="234"/>
    </row>
    <row r="6" spans="1:9" x14ac:dyDescent="0.25">
      <c r="B6" s="10" t="s">
        <v>1</v>
      </c>
      <c r="C6" s="127"/>
      <c r="D6" s="207">
        <v>1984</v>
      </c>
      <c r="E6" s="207"/>
    </row>
    <row r="7" spans="1:9" hidden="1" outlineLevel="1" x14ac:dyDescent="0.25">
      <c r="B7" s="10" t="s">
        <v>2</v>
      </c>
      <c r="C7" s="127"/>
      <c r="D7" s="207">
        <v>3</v>
      </c>
      <c r="E7" s="207"/>
    </row>
    <row r="8" spans="1:9" hidden="1" outlineLevel="1" x14ac:dyDescent="0.25">
      <c r="B8" s="10" t="s">
        <v>3</v>
      </c>
      <c r="C8" s="127"/>
      <c r="D8" s="207">
        <v>22</v>
      </c>
      <c r="E8" s="207"/>
    </row>
    <row r="9" spans="1:9" ht="26.25" hidden="1" outlineLevel="1" x14ac:dyDescent="0.25">
      <c r="B9" s="122" t="s">
        <v>4</v>
      </c>
      <c r="C9" s="127"/>
      <c r="D9" s="207"/>
      <c r="E9" s="207"/>
    </row>
    <row r="10" spans="1:9" collapsed="1" x14ac:dyDescent="0.25">
      <c r="B10" s="10" t="s">
        <v>5</v>
      </c>
      <c r="C10" s="127"/>
      <c r="D10" s="207" t="s">
        <v>231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1.5" hidden="1" customHeight="1" outlineLevel="1" x14ac:dyDescent="0.25">
      <c r="B12" s="14" t="s">
        <v>7</v>
      </c>
      <c r="C12" s="64"/>
      <c r="D12" s="91" t="s">
        <v>22</v>
      </c>
      <c r="E12" s="208"/>
      <c r="I12" s="17"/>
    </row>
    <row r="13" spans="1:9" collapsed="1" x14ac:dyDescent="0.25">
      <c r="B13" s="14"/>
      <c r="C13" s="64"/>
      <c r="D13" s="91"/>
      <c r="E13" s="208"/>
      <c r="I13" s="17"/>
    </row>
    <row r="14" spans="1:9" ht="15.75" customHeight="1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7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1385682.16</v>
      </c>
      <c r="D16" s="253"/>
      <c r="E16" s="224">
        <v>1000066.6399999999</v>
      </c>
      <c r="F16" s="225"/>
      <c r="G16" s="224">
        <v>385615.51999999996</v>
      </c>
      <c r="H16" s="226"/>
      <c r="I16" s="17"/>
    </row>
    <row r="17" spans="2:14" x14ac:dyDescent="0.25">
      <c r="B17" s="94" t="s">
        <v>16</v>
      </c>
      <c r="C17" s="220">
        <v>1250163.8999999999</v>
      </c>
      <c r="D17" s="221"/>
      <c r="E17" s="220">
        <v>902915.94</v>
      </c>
      <c r="F17" s="221"/>
      <c r="G17" s="220">
        <v>347247.96</v>
      </c>
      <c r="H17" s="251"/>
      <c r="I17" s="17"/>
    </row>
    <row r="18" spans="2:14" x14ac:dyDescent="0.25">
      <c r="B18" s="95" t="s">
        <v>189</v>
      </c>
      <c r="C18" s="220">
        <v>1303124.7074</v>
      </c>
      <c r="D18" s="221"/>
      <c r="E18" s="246">
        <v>989909.70739999996</v>
      </c>
      <c r="F18" s="247"/>
      <c r="G18" s="246">
        <v>313215</v>
      </c>
      <c r="H18" s="252"/>
      <c r="I18" s="17"/>
    </row>
    <row r="19" spans="2:14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4" ht="30.75" customHeight="1" thickBot="1" x14ac:dyDescent="0.3">
      <c r="B20" s="97" t="s">
        <v>297</v>
      </c>
      <c r="C20" s="216">
        <f>E20+G20</f>
        <v>-42160.807399999991</v>
      </c>
      <c r="D20" s="217"/>
      <c r="E20" s="248">
        <f>E17+E19-E18</f>
        <v>-76193.767400000012</v>
      </c>
      <c r="F20" s="254"/>
      <c r="G20" s="248">
        <f>G17-G18</f>
        <v>34032.960000000021</v>
      </c>
      <c r="H20" s="249"/>
      <c r="I20" s="17"/>
    </row>
    <row r="21" spans="2:14" x14ac:dyDescent="0.25">
      <c r="B21" s="14"/>
      <c r="C21" s="64"/>
      <c r="D21" s="91"/>
      <c r="E21" s="208"/>
      <c r="I21" s="17"/>
    </row>
    <row r="22" spans="2:14" ht="22.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I22" s="16"/>
      <c r="J22" s="16"/>
      <c r="L22" s="17"/>
      <c r="M22" s="312" t="s">
        <v>301</v>
      </c>
      <c r="N22" s="312" t="s">
        <v>302</v>
      </c>
    </row>
    <row r="23" spans="2:14" ht="35.25" customHeight="1" x14ac:dyDescent="0.25">
      <c r="B23" s="235" t="s">
        <v>196</v>
      </c>
      <c r="C23" s="237" t="s">
        <v>197</v>
      </c>
      <c r="D23" s="237" t="s">
        <v>198</v>
      </c>
      <c r="E23" s="239" t="s">
        <v>325</v>
      </c>
      <c r="F23" s="241" t="s">
        <v>199</v>
      </c>
      <c r="G23" s="242"/>
      <c r="H23" s="243" t="s">
        <v>227</v>
      </c>
      <c r="I23" s="18"/>
      <c r="J23" s="18"/>
      <c r="L23" s="17"/>
      <c r="M23" s="313"/>
      <c r="N23" s="313"/>
    </row>
    <row r="24" spans="2:14" ht="45" customHeight="1" thickBot="1" x14ac:dyDescent="0.3">
      <c r="B24" s="236"/>
      <c r="C24" s="238"/>
      <c r="D24" s="238"/>
      <c r="E24" s="240"/>
      <c r="F24" s="19" t="s">
        <v>187</v>
      </c>
      <c r="G24" s="20" t="s">
        <v>188</v>
      </c>
      <c r="H24" s="244"/>
      <c r="I24" s="18"/>
      <c r="J24" s="18"/>
      <c r="M24" s="314">
        <v>164571.99</v>
      </c>
      <c r="N24" s="314">
        <f>M24*1.01</f>
        <v>166217.70989999999</v>
      </c>
    </row>
    <row r="25" spans="2:14" ht="50.25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14922.695414884516</v>
      </c>
      <c r="G25" s="24">
        <f>$N$24/$N$25*E25</f>
        <v>15071.922369033362</v>
      </c>
      <c r="H25" s="25">
        <f>F25-G25</f>
        <v>-149.22695414884583</v>
      </c>
      <c r="I25" s="26"/>
      <c r="J25" s="26"/>
      <c r="K25" s="27"/>
      <c r="L25" s="28"/>
      <c r="M25" s="315">
        <f>E34-E32</f>
        <v>11.69</v>
      </c>
      <c r="N25" s="315">
        <f>E34-E32</f>
        <v>11.69</v>
      </c>
    </row>
    <row r="26" spans="2:14" ht="56.25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16752.837305389221</v>
      </c>
      <c r="G26" s="24">
        <f>$N$24/$N$25*E26</f>
        <v>16920.365678443111</v>
      </c>
      <c r="H26" s="25">
        <f t="shared" ref="H26:H31" si="0">F26-G26</f>
        <v>-167.52837305389039</v>
      </c>
      <c r="I26" s="26"/>
      <c r="J26" s="26"/>
      <c r="K26" s="4"/>
      <c r="L26" s="4"/>
      <c r="M26" s="316"/>
      <c r="N26" s="316"/>
    </row>
    <row r="27" spans="2:14" ht="55.5" customHeight="1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>$M$24/$M$25*E27</f>
        <v>4504.9646535500424</v>
      </c>
      <c r="G27" s="24">
        <f>$N$24/$N$25*E27</f>
        <v>4550.0143000855433</v>
      </c>
      <c r="H27" s="25">
        <f t="shared" si="0"/>
        <v>-45.04964653550087</v>
      </c>
      <c r="I27" s="26"/>
      <c r="J27" s="26"/>
      <c r="L27" s="17"/>
    </row>
    <row r="28" spans="2:14" ht="29.25" customHeight="1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($M$24/12*6)/$M$25*E28</f>
        <v>3519.5036355859706</v>
      </c>
      <c r="G28" s="24">
        <f>($N$24/12*6)/$N$25*E28</f>
        <v>3554.6986719418305</v>
      </c>
      <c r="H28" s="25">
        <f t="shared" si="0"/>
        <v>-35.195036355859884</v>
      </c>
      <c r="I28" s="26"/>
      <c r="J28" s="26"/>
      <c r="L28" s="17"/>
    </row>
    <row r="29" spans="2:14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ref="F29:F33" si="1">$M$24/$M$25*E29</f>
        <v>16612.057159965781</v>
      </c>
      <c r="G29" s="24">
        <f t="shared" ref="G29:G30" si="2">$N$24/$N$25*E29</f>
        <v>16778.17773156544</v>
      </c>
      <c r="H29" s="25">
        <f t="shared" si="0"/>
        <v>-166.12057159965843</v>
      </c>
      <c r="I29" s="26"/>
      <c r="J29" s="26"/>
    </row>
    <row r="30" spans="2:14" ht="242.25" customHeight="1" x14ac:dyDescent="0.25">
      <c r="B30" s="29" t="s">
        <v>217</v>
      </c>
      <c r="C30" s="32" t="s">
        <v>204</v>
      </c>
      <c r="D30" s="22" t="s">
        <v>201</v>
      </c>
      <c r="E30" s="99">
        <v>5.61</v>
      </c>
      <c r="F30" s="23">
        <f t="shared" si="1"/>
        <v>78977.66158254919</v>
      </c>
      <c r="G30" s="24">
        <f t="shared" si="2"/>
        <v>79767.438198374686</v>
      </c>
      <c r="H30" s="25">
        <f t="shared" si="0"/>
        <v>-789.77661582549626</v>
      </c>
      <c r="I30" s="26"/>
      <c r="J30" s="26"/>
      <c r="K30" s="4"/>
      <c r="L30" s="3"/>
      <c r="M30" s="316"/>
      <c r="N30" s="316"/>
    </row>
    <row r="31" spans="2:14" ht="108.75" customHeight="1" x14ac:dyDescent="0.25">
      <c r="B31" s="29" t="s">
        <v>205</v>
      </c>
      <c r="C31" s="8" t="s">
        <v>223</v>
      </c>
      <c r="D31" s="22" t="s">
        <v>201</v>
      </c>
      <c r="E31" s="99">
        <v>0.24</v>
      </c>
      <c r="F31" s="23">
        <f t="shared" si="1"/>
        <v>3378.7234901625316</v>
      </c>
      <c r="G31" s="24">
        <f t="shared" ref="G31" si="3">$N$24/$N$25*E31</f>
        <v>3412.5107250641572</v>
      </c>
      <c r="H31" s="25">
        <f t="shared" si="0"/>
        <v>-33.787234901625652</v>
      </c>
      <c r="I31" s="26"/>
      <c r="J31" s="26"/>
    </row>
    <row r="32" spans="2:14" ht="56.25" customHeight="1" x14ac:dyDescent="0.25">
      <c r="B32" s="30" t="s">
        <v>206</v>
      </c>
      <c r="C32" s="8" t="s">
        <v>223</v>
      </c>
      <c r="D32" s="22" t="s">
        <v>201</v>
      </c>
      <c r="E32" s="99">
        <v>4.67</v>
      </c>
      <c r="F32" s="23">
        <v>69426.48</v>
      </c>
      <c r="G32" s="6">
        <v>20337</v>
      </c>
      <c r="H32" s="25">
        <f>F32-G32</f>
        <v>49089.479999999996</v>
      </c>
      <c r="I32" s="26"/>
      <c r="J32" s="26"/>
      <c r="L32" s="17"/>
    </row>
    <row r="33" spans="2:14" ht="16.5" thickBot="1" x14ac:dyDescent="0.3">
      <c r="B33" s="51" t="s">
        <v>186</v>
      </c>
      <c r="C33" s="52" t="s">
        <v>204</v>
      </c>
      <c r="D33" s="53" t="s">
        <v>201</v>
      </c>
      <c r="E33" s="103">
        <f>1.28+0.31</f>
        <v>1.59</v>
      </c>
      <c r="F33" s="23">
        <f t="shared" si="1"/>
        <v>22384.043122326773</v>
      </c>
      <c r="G33" s="24">
        <f t="shared" ref="G33" si="4">$N$24/$N$25*E33</f>
        <v>22607.883553550044</v>
      </c>
      <c r="H33" s="33">
        <f>F33-G33</f>
        <v>-223.84043122327057</v>
      </c>
      <c r="I33" s="26"/>
      <c r="J33" s="26"/>
    </row>
    <row r="34" spans="2:14" ht="16.5" thickBot="1" x14ac:dyDescent="0.3">
      <c r="B34" s="54" t="s">
        <v>190</v>
      </c>
      <c r="C34" s="55"/>
      <c r="D34" s="55"/>
      <c r="E34" s="101">
        <f>SUM(E25:E33)</f>
        <v>16.36</v>
      </c>
      <c r="F34" s="56">
        <f>SUM(F25:F33)</f>
        <v>230478.96636441402</v>
      </c>
      <c r="G34" s="57">
        <f>SUM(G25:G33)</f>
        <v>183000.01122805817</v>
      </c>
      <c r="H34" s="38">
        <f>SUM(H25:H33)</f>
        <v>47478.955136355842</v>
      </c>
      <c r="I34" s="39"/>
      <c r="J34" s="39"/>
    </row>
    <row r="35" spans="2:14" x14ac:dyDescent="0.25">
      <c r="B35" s="17"/>
      <c r="C35" s="17"/>
      <c r="D35" s="17"/>
      <c r="E35" s="86"/>
      <c r="F35" s="86"/>
      <c r="G35" s="139"/>
      <c r="I35" s="82"/>
      <c r="J35" s="82"/>
    </row>
    <row r="36" spans="2:14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40"/>
      <c r="J36" s="40"/>
    </row>
    <row r="37" spans="2:14" ht="44.2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41"/>
      <c r="J37" s="41"/>
      <c r="K37" s="42"/>
      <c r="L37" s="43"/>
      <c r="M37" s="317"/>
      <c r="N37" s="317"/>
    </row>
    <row r="38" spans="2:14" x14ac:dyDescent="0.25">
      <c r="B38" s="93" t="s">
        <v>15</v>
      </c>
      <c r="C38" s="222">
        <f>E38+G38</f>
        <v>1616161.1263644139</v>
      </c>
      <c r="D38" s="223"/>
      <c r="E38" s="224">
        <f>F25+F26+F27+F28+F29+F30+F31+F33+E16</f>
        <v>1161119.1263644139</v>
      </c>
      <c r="F38" s="225"/>
      <c r="G38" s="224">
        <f>F32+G16</f>
        <v>455041.99999999994</v>
      </c>
      <c r="H38" s="226"/>
      <c r="I38" s="212"/>
      <c r="J38" s="212"/>
      <c r="K38" s="9"/>
      <c r="L38" s="9"/>
      <c r="M38" s="318"/>
    </row>
    <row r="39" spans="2:14" x14ac:dyDescent="0.25">
      <c r="B39" s="94" t="s">
        <v>16</v>
      </c>
      <c r="C39" s="220">
        <f>E39+G39</f>
        <v>1452245.0899999999</v>
      </c>
      <c r="D39" s="221"/>
      <c r="E39" s="220">
        <f>E17+142124.45</f>
        <v>1045040.3899999999</v>
      </c>
      <c r="F39" s="221"/>
      <c r="G39" s="220">
        <f>G17+59956.74</f>
        <v>407204.7</v>
      </c>
      <c r="H39" s="251"/>
      <c r="I39" s="212"/>
      <c r="J39" s="212"/>
      <c r="K39" s="12"/>
      <c r="L39" s="9"/>
      <c r="M39" s="318"/>
    </row>
    <row r="40" spans="2:14" x14ac:dyDescent="0.25">
      <c r="B40" s="95" t="s">
        <v>189</v>
      </c>
      <c r="C40" s="220">
        <f>E40+G40</f>
        <v>1486124.7186280582</v>
      </c>
      <c r="D40" s="221"/>
      <c r="E40" s="246">
        <f>G25+G26+G27+G28+G29+G30+G31+G33+E18</f>
        <v>1152572.7186280582</v>
      </c>
      <c r="F40" s="247"/>
      <c r="G40" s="246">
        <f>G32+G18</f>
        <v>333552</v>
      </c>
      <c r="H40" s="252"/>
      <c r="I40" s="212"/>
      <c r="J40" s="212"/>
      <c r="K40" s="44"/>
      <c r="L40" s="44"/>
    </row>
    <row r="41" spans="2:14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212"/>
      <c r="J41" s="212"/>
      <c r="K41" s="44"/>
      <c r="L41" s="44"/>
    </row>
    <row r="42" spans="2:14" ht="31.5" customHeight="1" thickBot="1" x14ac:dyDescent="0.3">
      <c r="B42" s="97" t="s">
        <v>298</v>
      </c>
      <c r="C42" s="216">
        <f>E42+G42</f>
        <v>-19479.628628058301</v>
      </c>
      <c r="D42" s="217"/>
      <c r="E42" s="248">
        <f>E39+E41-E40</f>
        <v>-93132.328628058312</v>
      </c>
      <c r="F42" s="254"/>
      <c r="G42" s="248">
        <f>G39-G40</f>
        <v>73652.700000000012</v>
      </c>
      <c r="H42" s="249"/>
      <c r="I42" s="212"/>
      <c r="J42" s="212"/>
      <c r="K42" s="44"/>
      <c r="L42" s="44"/>
    </row>
    <row r="43" spans="2:14" ht="25.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205"/>
      <c r="I43" s="205"/>
      <c r="J43" s="205"/>
      <c r="K43" s="4"/>
      <c r="L43" s="4"/>
      <c r="M43" s="316"/>
      <c r="N43" s="316"/>
    </row>
    <row r="44" spans="2:14" ht="11.25" customHeight="1" x14ac:dyDescent="0.25">
      <c r="B44" s="205"/>
      <c r="C44" s="205"/>
      <c r="D44" s="205"/>
      <c r="E44" s="209"/>
      <c r="F44" s="231"/>
      <c r="G44" s="231"/>
      <c r="H44" s="210"/>
      <c r="I44" s="210"/>
      <c r="J44" s="210"/>
      <c r="K44" s="4"/>
      <c r="L44" s="4"/>
      <c r="M44" s="316"/>
      <c r="N44" s="316"/>
    </row>
    <row r="45" spans="2:14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205"/>
      <c r="I45" s="205"/>
      <c r="J45" s="205"/>
      <c r="K45" s="4"/>
      <c r="L45" s="4"/>
      <c r="M45" s="316"/>
      <c r="N45" s="316"/>
    </row>
    <row r="46" spans="2:14" ht="9.75" customHeight="1" x14ac:dyDescent="0.25">
      <c r="B46" s="205"/>
      <c r="C46" s="205"/>
      <c r="D46" s="205"/>
      <c r="E46" s="209"/>
      <c r="F46" s="230"/>
      <c r="G46" s="230"/>
      <c r="H46" s="205"/>
      <c r="I46" s="205"/>
      <c r="J46" s="205"/>
    </row>
    <row r="47" spans="2:14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205"/>
      <c r="I47" s="205"/>
      <c r="J47" s="205"/>
    </row>
    <row r="48" spans="2:14" ht="8.25" customHeight="1" x14ac:dyDescent="0.25">
      <c r="B48" s="45"/>
      <c r="C48" s="45"/>
      <c r="D48" s="45"/>
      <c r="E48" s="209"/>
      <c r="F48" s="46"/>
      <c r="G48" s="47"/>
      <c r="H48" s="48"/>
      <c r="I48" s="48"/>
      <c r="J48" s="48"/>
    </row>
    <row r="49" spans="2:8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5"/>
    </row>
    <row r="50" spans="2:8" x14ac:dyDescent="0.25">
      <c r="B50" s="49"/>
      <c r="C50" s="49"/>
      <c r="D50" s="49"/>
      <c r="E50" s="209"/>
      <c r="F50" s="229"/>
      <c r="G50" s="229"/>
      <c r="H50" s="5"/>
    </row>
  </sheetData>
  <mergeCells count="61">
    <mergeCell ref="C43:E43"/>
    <mergeCell ref="C45:E45"/>
    <mergeCell ref="C47:E47"/>
    <mergeCell ref="C49:E49"/>
    <mergeCell ref="G41:H41"/>
    <mergeCell ref="C42:D42"/>
    <mergeCell ref="C40:D40"/>
    <mergeCell ref="C41:D41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0:D20"/>
    <mergeCell ref="B14:H14"/>
    <mergeCell ref="E15:F15"/>
    <mergeCell ref="G15:H15"/>
    <mergeCell ref="E16:F16"/>
    <mergeCell ref="E37:F37"/>
    <mergeCell ref="G37:H37"/>
    <mergeCell ref="C15:D15"/>
    <mergeCell ref="C16:D16"/>
    <mergeCell ref="C17:D17"/>
    <mergeCell ref="C18:D18"/>
    <mergeCell ref="C19:D19"/>
    <mergeCell ref="B1:H1"/>
    <mergeCell ref="B2:H3"/>
    <mergeCell ref="B36:H36"/>
    <mergeCell ref="F47:G47"/>
    <mergeCell ref="F43:G43"/>
    <mergeCell ref="F44:G44"/>
    <mergeCell ref="G39:H39"/>
    <mergeCell ref="E40:F40"/>
    <mergeCell ref="G40:H40"/>
    <mergeCell ref="E42:F42"/>
    <mergeCell ref="G42:H42"/>
    <mergeCell ref="F45:G45"/>
    <mergeCell ref="F46:G46"/>
    <mergeCell ref="D5:E5"/>
    <mergeCell ref="B22:H22"/>
    <mergeCell ref="B23:B24"/>
    <mergeCell ref="F50:G50"/>
    <mergeCell ref="M22:M23"/>
    <mergeCell ref="N22:N23"/>
    <mergeCell ref="C37:D37"/>
    <mergeCell ref="C38:D38"/>
    <mergeCell ref="C39:D39"/>
    <mergeCell ref="F49:G49"/>
    <mergeCell ref="C23:C24"/>
    <mergeCell ref="D23:D24"/>
    <mergeCell ref="E23:E24"/>
    <mergeCell ref="F23:G23"/>
    <mergeCell ref="H23:H24"/>
    <mergeCell ref="E38:F38"/>
    <mergeCell ref="G38:H38"/>
    <mergeCell ref="E41:F41"/>
    <mergeCell ref="E39:F39"/>
  </mergeCells>
  <pageMargins left="0.19685039370078741" right="0.19685039370078741" top="0.16" bottom="0.23622047244094491" header="0.18" footer="0.25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0"/>
  <sheetViews>
    <sheetView topLeftCell="A22" zoomScale="110" zoomScaleNormal="110" workbookViewId="0">
      <selection activeCell="M22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85546875" style="5" customWidth="1"/>
    <col min="3" max="3" width="20.5703125" style="86" customWidth="1"/>
    <col min="4" max="4" width="9.7109375" style="82" customWidth="1"/>
    <col min="5" max="5" width="11.140625" style="82" customWidth="1"/>
    <col min="6" max="6" width="9.5703125" style="82" customWidth="1"/>
    <col min="7" max="7" width="10.42578125" style="5" customWidth="1"/>
    <col min="8" max="8" width="10.5703125" style="82" customWidth="1"/>
    <col min="9" max="9" width="10.7109375" style="5" bestFit="1" customWidth="1"/>
    <col min="10" max="10" width="11.85546875" style="5" customWidth="1"/>
    <col min="11" max="11" width="15.5703125" style="5" customWidth="1"/>
    <col min="12" max="12" width="9.140625" style="5"/>
    <col min="13" max="13" width="15.140625" style="5" customWidth="1"/>
    <col min="14" max="14" width="17.7109375" style="5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7" customHeight="1" x14ac:dyDescent="0.35">
      <c r="A3" s="59"/>
      <c r="B3" s="265"/>
      <c r="C3" s="265"/>
      <c r="D3" s="265"/>
      <c r="E3" s="265"/>
      <c r="F3" s="265"/>
      <c r="G3" s="265"/>
      <c r="H3" s="265"/>
    </row>
    <row r="5" spans="1:9" x14ac:dyDescent="0.25">
      <c r="B5" s="10" t="s">
        <v>0</v>
      </c>
      <c r="C5" s="125"/>
      <c r="D5" s="234" t="s">
        <v>24</v>
      </c>
      <c r="E5" s="234"/>
    </row>
    <row r="6" spans="1:9" x14ac:dyDescent="0.25">
      <c r="B6" s="10" t="s">
        <v>1</v>
      </c>
      <c r="C6" s="125"/>
      <c r="D6" s="207">
        <v>1993</v>
      </c>
      <c r="E6" s="207"/>
    </row>
    <row r="7" spans="1:9" hidden="1" outlineLevel="1" x14ac:dyDescent="0.25">
      <c r="B7" s="10" t="s">
        <v>2</v>
      </c>
      <c r="C7" s="125"/>
      <c r="D7" s="207">
        <v>4</v>
      </c>
      <c r="E7" s="207"/>
    </row>
    <row r="8" spans="1:9" hidden="1" outlineLevel="1" x14ac:dyDescent="0.25">
      <c r="B8" s="10" t="s">
        <v>3</v>
      </c>
      <c r="C8" s="125"/>
      <c r="D8" s="207">
        <v>16</v>
      </c>
      <c r="E8" s="207"/>
    </row>
    <row r="9" spans="1:9" ht="26.25" hidden="1" outlineLevel="1" x14ac:dyDescent="0.25">
      <c r="B9" s="122" t="s">
        <v>4</v>
      </c>
      <c r="C9" s="126"/>
      <c r="D9" s="207" t="s">
        <v>25</v>
      </c>
      <c r="E9" s="207"/>
    </row>
    <row r="10" spans="1:9" collapsed="1" x14ac:dyDescent="0.25">
      <c r="B10" s="10" t="s">
        <v>5</v>
      </c>
      <c r="C10" s="125"/>
      <c r="D10" s="207" t="s">
        <v>232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1.5" hidden="1" customHeight="1" outlineLevel="1" x14ac:dyDescent="0.25">
      <c r="B12" s="14" t="s">
        <v>7</v>
      </c>
      <c r="C12" s="58"/>
      <c r="D12" s="91" t="s">
        <v>26</v>
      </c>
      <c r="E12" s="208"/>
      <c r="I12" s="17"/>
    </row>
    <row r="13" spans="1:9" collapsed="1" x14ac:dyDescent="0.25">
      <c r="B13" s="14"/>
      <c r="C13" s="58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3.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974804.78</v>
      </c>
      <c r="D16" s="253"/>
      <c r="E16" s="224">
        <v>697285.75</v>
      </c>
      <c r="F16" s="225"/>
      <c r="G16" s="224">
        <v>277519.03000000003</v>
      </c>
      <c r="H16" s="226"/>
      <c r="I16" s="17"/>
    </row>
    <row r="17" spans="2:14" x14ac:dyDescent="0.25">
      <c r="B17" s="94" t="s">
        <v>16</v>
      </c>
      <c r="C17" s="220">
        <v>931595.26</v>
      </c>
      <c r="D17" s="221"/>
      <c r="E17" s="220">
        <v>666909.16</v>
      </c>
      <c r="F17" s="221"/>
      <c r="G17" s="220">
        <v>264686.09999999998</v>
      </c>
      <c r="H17" s="251"/>
      <c r="I17" s="17"/>
    </row>
    <row r="18" spans="2:14" x14ac:dyDescent="0.25">
      <c r="B18" s="95" t="s">
        <v>189</v>
      </c>
      <c r="C18" s="220">
        <v>892717.1100000001</v>
      </c>
      <c r="D18" s="221"/>
      <c r="E18" s="246">
        <v>687759.1100000001</v>
      </c>
      <c r="F18" s="247"/>
      <c r="G18" s="246">
        <v>204958</v>
      </c>
      <c r="H18" s="252"/>
      <c r="I18" s="17"/>
    </row>
    <row r="19" spans="2:14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4" ht="33" customHeight="1" thickBot="1" x14ac:dyDescent="0.3">
      <c r="B20" s="97" t="s">
        <v>297</v>
      </c>
      <c r="C20" s="216">
        <f>E20+G20</f>
        <v>49678.149999999907</v>
      </c>
      <c r="D20" s="217"/>
      <c r="E20" s="248">
        <f>E17+E19-E18</f>
        <v>-10049.95000000007</v>
      </c>
      <c r="F20" s="254"/>
      <c r="G20" s="248">
        <f>G17-G18</f>
        <v>59728.099999999977</v>
      </c>
      <c r="H20" s="249"/>
      <c r="I20" s="17"/>
    </row>
    <row r="21" spans="2:14" x14ac:dyDescent="0.25">
      <c r="B21" s="14"/>
      <c r="C21" s="64"/>
      <c r="D21" s="91"/>
      <c r="E21" s="208"/>
      <c r="I21" s="17"/>
    </row>
    <row r="22" spans="2:14" ht="18.7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I22" s="16"/>
      <c r="J22" s="16"/>
      <c r="L22" s="17"/>
      <c r="M22" s="218" t="s">
        <v>301</v>
      </c>
      <c r="N22" s="218" t="s">
        <v>302</v>
      </c>
    </row>
    <row r="23" spans="2:14" ht="35.25" customHeight="1" x14ac:dyDescent="0.25">
      <c r="B23" s="235" t="s">
        <v>196</v>
      </c>
      <c r="C23" s="237" t="s">
        <v>197</v>
      </c>
      <c r="D23" s="237" t="s">
        <v>198</v>
      </c>
      <c r="E23" s="239" t="s">
        <v>325</v>
      </c>
      <c r="F23" s="241" t="s">
        <v>199</v>
      </c>
      <c r="G23" s="242"/>
      <c r="H23" s="243" t="s">
        <v>227</v>
      </c>
      <c r="I23" s="18"/>
      <c r="J23" s="18"/>
      <c r="L23" s="17"/>
      <c r="M23" s="219"/>
      <c r="N23" s="219"/>
    </row>
    <row r="24" spans="2:14" ht="45" customHeight="1" thickBot="1" x14ac:dyDescent="0.3">
      <c r="B24" s="236"/>
      <c r="C24" s="238"/>
      <c r="D24" s="238"/>
      <c r="E24" s="240"/>
      <c r="F24" s="19" t="s">
        <v>187</v>
      </c>
      <c r="G24" s="20" t="s">
        <v>188</v>
      </c>
      <c r="H24" s="244"/>
      <c r="I24" s="18"/>
      <c r="J24" s="18"/>
      <c r="M24" s="1">
        <v>118183.52</v>
      </c>
      <c r="N24" s="1">
        <f>M24*1.01</f>
        <v>119365.35520000001</v>
      </c>
    </row>
    <row r="25" spans="2:14" ht="60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11086.241699115048</v>
      </c>
      <c r="G25" s="24">
        <f>$N$24/$N$25*E25</f>
        <v>11197.104116106198</v>
      </c>
      <c r="H25" s="25">
        <f>F25-G25</f>
        <v>-110.86241699115089</v>
      </c>
      <c r="I25" s="26"/>
      <c r="J25" s="26"/>
      <c r="K25" s="27"/>
      <c r="L25" s="28"/>
      <c r="M25" s="2">
        <f>E34-E32</f>
        <v>11.299999999999997</v>
      </c>
      <c r="N25" s="2">
        <f>E34-E32</f>
        <v>11.299999999999997</v>
      </c>
    </row>
    <row r="26" spans="2:14" ht="60.75" customHeight="1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12445.875115044249</v>
      </c>
      <c r="G26" s="24">
        <f>$N$24/$N$25*E26</f>
        <v>12570.333866194693</v>
      </c>
      <c r="H26" s="25">
        <f t="shared" ref="H26:H31" si="0">F26-G26</f>
        <v>-124.45875115044328</v>
      </c>
      <c r="I26" s="26"/>
      <c r="J26" s="26"/>
      <c r="K26" s="4"/>
      <c r="L26" s="4"/>
      <c r="M26" s="4"/>
      <c r="N26" s="4"/>
    </row>
    <row r="27" spans="2:14" ht="64.5" customHeight="1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0" si="1">$M$24/$M$25*E27</f>
        <v>3346.7899469026556</v>
      </c>
      <c r="G27" s="24">
        <f t="shared" ref="G27:G30" si="2">$N$24/$N$25*E27</f>
        <v>3380.2578463716823</v>
      </c>
      <c r="H27" s="25">
        <f t="shared" si="0"/>
        <v>-33.467899469026634</v>
      </c>
      <c r="I27" s="26"/>
      <c r="J27" s="26"/>
      <c r="L27" s="17"/>
    </row>
    <row r="28" spans="2:14" ht="29.25" customHeight="1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($M$24/12*6)/$M$25*E28</f>
        <v>2614.6796460176997</v>
      </c>
      <c r="G28" s="24">
        <f>($N$24/12*6)/$N$25*E28</f>
        <v>2640.8264424778768</v>
      </c>
      <c r="H28" s="25">
        <f t="shared" si="0"/>
        <v>-26.146796460177029</v>
      </c>
      <c r="I28" s="26"/>
      <c r="J28" s="26"/>
      <c r="L28" s="17"/>
    </row>
    <row r="29" spans="2:14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12341.287929203541</v>
      </c>
      <c r="G29" s="24">
        <f t="shared" si="2"/>
        <v>12464.700808495578</v>
      </c>
      <c r="H29" s="25">
        <f t="shared" si="0"/>
        <v>-123.41287929203645</v>
      </c>
      <c r="I29" s="26"/>
      <c r="J29" s="26"/>
    </row>
    <row r="30" spans="2:14" ht="218.25" customHeight="1" x14ac:dyDescent="0.25">
      <c r="B30" s="29" t="s">
        <v>217</v>
      </c>
      <c r="C30" s="32" t="s">
        <v>204</v>
      </c>
      <c r="D30" s="22" t="s">
        <v>201</v>
      </c>
      <c r="E30" s="99">
        <v>5.61</v>
      </c>
      <c r="F30" s="23">
        <f t="shared" si="1"/>
        <v>58673.411256637184</v>
      </c>
      <c r="G30" s="24">
        <f t="shared" si="2"/>
        <v>59260.145369203557</v>
      </c>
      <c r="H30" s="25">
        <f t="shared" si="0"/>
        <v>-586.73411256637337</v>
      </c>
      <c r="I30" s="26"/>
      <c r="J30" s="26"/>
      <c r="K30" s="4"/>
      <c r="L30" s="3"/>
      <c r="M30" s="4"/>
      <c r="N30" s="4"/>
    </row>
    <row r="31" spans="2:14" ht="112.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ref="F31:F33" si="3">$M$24/$M$25*E31</f>
        <v>1987.1565309734517</v>
      </c>
      <c r="G31" s="24">
        <f t="shared" ref="G31" si="4">$N$24/$N$25*E31</f>
        <v>2007.0280962831864</v>
      </c>
      <c r="H31" s="25">
        <f t="shared" si="0"/>
        <v>-19.871565309734706</v>
      </c>
      <c r="I31" s="26"/>
      <c r="J31" s="26"/>
    </row>
    <row r="32" spans="2:14" ht="56.25" customHeight="1" x14ac:dyDescent="0.25">
      <c r="B32" s="30" t="s">
        <v>206</v>
      </c>
      <c r="C32" s="8" t="s">
        <v>223</v>
      </c>
      <c r="D32" s="22" t="s">
        <v>201</v>
      </c>
      <c r="E32" s="99">
        <v>4.93</v>
      </c>
      <c r="F32" s="23">
        <v>53064.18</v>
      </c>
      <c r="G32" s="6">
        <v>0</v>
      </c>
      <c r="H32" s="25">
        <f>F32-G32</f>
        <v>53064.18</v>
      </c>
      <c r="I32" s="26"/>
      <c r="J32" s="26"/>
      <c r="L32" s="17"/>
    </row>
    <row r="33" spans="2:14" ht="16.5" thickBot="1" x14ac:dyDescent="0.3">
      <c r="B33" s="51" t="s">
        <v>186</v>
      </c>
      <c r="C33" s="52" t="s">
        <v>204</v>
      </c>
      <c r="D33" s="53" t="s">
        <v>201</v>
      </c>
      <c r="E33" s="103">
        <v>1.25</v>
      </c>
      <c r="F33" s="23">
        <f t="shared" si="3"/>
        <v>13073.398230088498</v>
      </c>
      <c r="G33" s="24">
        <f t="shared" ref="G33" si="5">$N$24/$N$25*E33</f>
        <v>13204.132212389384</v>
      </c>
      <c r="H33" s="33">
        <f>F33-G33</f>
        <v>-130.73398230088605</v>
      </c>
      <c r="I33" s="26"/>
      <c r="J33" s="26"/>
    </row>
    <row r="34" spans="2:14" ht="16.5" thickBot="1" x14ac:dyDescent="0.3">
      <c r="B34" s="54" t="s">
        <v>190</v>
      </c>
      <c r="C34" s="55"/>
      <c r="D34" s="55"/>
      <c r="E34" s="101">
        <f>SUM(E25:E33)</f>
        <v>16.229999999999997</v>
      </c>
      <c r="F34" s="56">
        <f>SUM(F25:F33)</f>
        <v>168633.02035398234</v>
      </c>
      <c r="G34" s="57">
        <f>SUM(G25:G33)</f>
        <v>116724.52875752217</v>
      </c>
      <c r="H34" s="38">
        <f>SUM(H25:H33)</f>
        <v>51908.491596460168</v>
      </c>
      <c r="I34" s="39"/>
      <c r="J34" s="39"/>
    </row>
    <row r="35" spans="2:14" x14ac:dyDescent="0.25">
      <c r="B35" s="17"/>
      <c r="C35" s="17"/>
      <c r="D35" s="17"/>
      <c r="E35" s="86"/>
      <c r="F35" s="86"/>
      <c r="G35" s="125"/>
      <c r="I35" s="82"/>
      <c r="J35" s="82"/>
    </row>
    <row r="36" spans="2:14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40"/>
      <c r="J36" s="40"/>
    </row>
    <row r="37" spans="2:14" ht="44.2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41"/>
      <c r="J37" s="41"/>
      <c r="K37" s="42"/>
      <c r="L37" s="43"/>
      <c r="M37" s="82"/>
      <c r="N37" s="82"/>
    </row>
    <row r="38" spans="2:14" x14ac:dyDescent="0.25">
      <c r="B38" s="93" t="s">
        <v>15</v>
      </c>
      <c r="C38" s="222">
        <f>E38+G38</f>
        <v>1143437.8003539823</v>
      </c>
      <c r="D38" s="223"/>
      <c r="E38" s="224">
        <f>F25+F26+F27+F28+F29+F30+F31+F33+E16</f>
        <v>812854.59035398229</v>
      </c>
      <c r="F38" s="225"/>
      <c r="G38" s="224">
        <f>F32+G16</f>
        <v>330583.21000000002</v>
      </c>
      <c r="H38" s="226"/>
      <c r="I38" s="212"/>
      <c r="J38" s="212"/>
      <c r="K38" s="9"/>
      <c r="L38" s="9"/>
      <c r="M38" s="11"/>
    </row>
    <row r="39" spans="2:14" x14ac:dyDescent="0.25">
      <c r="B39" s="94" t="s">
        <v>16</v>
      </c>
      <c r="C39" s="220">
        <f>E39+G39</f>
        <v>1133996.82</v>
      </c>
      <c r="D39" s="221"/>
      <c r="E39" s="220">
        <f>E17+139683.79</f>
        <v>806592.95000000007</v>
      </c>
      <c r="F39" s="221"/>
      <c r="G39" s="220">
        <f>G17+62717.77</f>
        <v>327403.87</v>
      </c>
      <c r="H39" s="251"/>
      <c r="I39" s="212"/>
      <c r="J39" s="212"/>
      <c r="K39" s="12"/>
      <c r="L39" s="9"/>
      <c r="M39" s="11"/>
    </row>
    <row r="40" spans="2:14" x14ac:dyDescent="0.25">
      <c r="B40" s="95" t="s">
        <v>189</v>
      </c>
      <c r="C40" s="220">
        <f>E40+G40</f>
        <v>1009441.6387575222</v>
      </c>
      <c r="D40" s="221"/>
      <c r="E40" s="246">
        <f>G25+G26+G27+G28+G29+G30+G31+G33+E18</f>
        <v>804483.63875752222</v>
      </c>
      <c r="F40" s="247"/>
      <c r="G40" s="246">
        <f>G32+G18</f>
        <v>204958</v>
      </c>
      <c r="H40" s="252"/>
      <c r="I40" s="212"/>
      <c r="J40" s="212"/>
      <c r="K40" s="44"/>
      <c r="L40" s="44"/>
    </row>
    <row r="41" spans="2:14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212"/>
      <c r="J41" s="212"/>
      <c r="K41" s="44"/>
      <c r="L41" s="44"/>
    </row>
    <row r="42" spans="2:14" ht="29.25" customHeight="1" thickBot="1" x14ac:dyDescent="0.3">
      <c r="B42" s="97" t="s">
        <v>298</v>
      </c>
      <c r="C42" s="216">
        <f>E42+G42</f>
        <v>138955.18124247785</v>
      </c>
      <c r="D42" s="217"/>
      <c r="E42" s="248">
        <f>E39+E41-E40</f>
        <v>16509.311242477852</v>
      </c>
      <c r="F42" s="254"/>
      <c r="G42" s="248">
        <f>G39-G40</f>
        <v>122445.87</v>
      </c>
      <c r="H42" s="249"/>
      <c r="I42" s="212"/>
      <c r="J42" s="212"/>
      <c r="K42" s="44"/>
      <c r="L42" s="44"/>
    </row>
    <row r="43" spans="2:14" ht="34.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205"/>
      <c r="I43" s="205"/>
      <c r="J43" s="205"/>
      <c r="K43" s="4"/>
      <c r="L43" s="4"/>
      <c r="M43" s="4"/>
      <c r="N43" s="4"/>
    </row>
    <row r="44" spans="2:14" ht="11.25" customHeight="1" x14ac:dyDescent="0.25">
      <c r="B44" s="205"/>
      <c r="C44" s="205"/>
      <c r="D44" s="205"/>
      <c r="E44" s="209"/>
      <c r="F44" s="231"/>
      <c r="G44" s="231"/>
      <c r="H44" s="210"/>
      <c r="I44" s="210"/>
      <c r="J44" s="210"/>
      <c r="K44" s="4"/>
      <c r="L44" s="4"/>
      <c r="M44" s="4"/>
      <c r="N44" s="4"/>
    </row>
    <row r="45" spans="2:14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205"/>
      <c r="I45" s="205"/>
      <c r="J45" s="205"/>
      <c r="K45" s="4"/>
      <c r="L45" s="4"/>
      <c r="M45" s="4"/>
      <c r="N45" s="4"/>
    </row>
    <row r="46" spans="2:14" ht="9.75" customHeight="1" x14ac:dyDescent="0.25">
      <c r="B46" s="205"/>
      <c r="C46" s="205"/>
      <c r="D46" s="205"/>
      <c r="E46" s="209"/>
      <c r="F46" s="230"/>
      <c r="G46" s="230"/>
      <c r="H46" s="205"/>
      <c r="I46" s="205"/>
      <c r="J46" s="205"/>
    </row>
    <row r="47" spans="2:14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205"/>
      <c r="I47" s="205"/>
      <c r="J47" s="205"/>
    </row>
    <row r="48" spans="2:14" ht="8.25" customHeight="1" x14ac:dyDescent="0.25">
      <c r="B48" s="45"/>
      <c r="C48" s="45"/>
      <c r="D48" s="45"/>
      <c r="E48" s="209"/>
      <c r="F48" s="46"/>
      <c r="G48" s="47"/>
      <c r="H48" s="48"/>
      <c r="I48" s="48"/>
      <c r="J48" s="48"/>
    </row>
    <row r="49" spans="2:8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5"/>
    </row>
    <row r="50" spans="2:8" ht="11.25" customHeight="1" x14ac:dyDescent="0.25">
      <c r="B50" s="49"/>
      <c r="C50" s="49"/>
      <c r="D50" s="49"/>
      <c r="E50" s="209"/>
      <c r="F50" s="229"/>
      <c r="G50" s="229"/>
      <c r="H50" s="5"/>
    </row>
  </sheetData>
  <mergeCells count="61">
    <mergeCell ref="C49:E49"/>
    <mergeCell ref="M22:M23"/>
    <mergeCell ref="N22:N23"/>
    <mergeCell ref="C37:D37"/>
    <mergeCell ref="C38:D38"/>
    <mergeCell ref="C39:D39"/>
    <mergeCell ref="E39:F39"/>
    <mergeCell ref="G39:H39"/>
    <mergeCell ref="B36:H36"/>
    <mergeCell ref="E37:F37"/>
    <mergeCell ref="G37:H37"/>
    <mergeCell ref="E38:F38"/>
    <mergeCell ref="G38:H38"/>
    <mergeCell ref="C40:D40"/>
    <mergeCell ref="C41:D41"/>
    <mergeCell ref="C42:D42"/>
    <mergeCell ref="C15:D15"/>
    <mergeCell ref="C16:D16"/>
    <mergeCell ref="C17:D17"/>
    <mergeCell ref="C18:D18"/>
    <mergeCell ref="C19:D19"/>
    <mergeCell ref="E17:F17"/>
    <mergeCell ref="G17:H17"/>
    <mergeCell ref="E20:F20"/>
    <mergeCell ref="G20:H20"/>
    <mergeCell ref="E18:F18"/>
    <mergeCell ref="G18:H18"/>
    <mergeCell ref="E19:F19"/>
    <mergeCell ref="G19:H19"/>
    <mergeCell ref="F50:G50"/>
    <mergeCell ref="E40:F40"/>
    <mergeCell ref="G40:H40"/>
    <mergeCell ref="E42:F42"/>
    <mergeCell ref="G42:H42"/>
    <mergeCell ref="E41:F41"/>
    <mergeCell ref="G41:H41"/>
    <mergeCell ref="F44:G44"/>
    <mergeCell ref="F43:G43"/>
    <mergeCell ref="F46:G46"/>
    <mergeCell ref="F47:G47"/>
    <mergeCell ref="F49:G49"/>
    <mergeCell ref="F45:G45"/>
    <mergeCell ref="C43:E43"/>
    <mergeCell ref="C45:E45"/>
    <mergeCell ref="C47:E47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C20:D20"/>
    <mergeCell ref="E16:F16"/>
    <mergeCell ref="G16:H16"/>
  </mergeCells>
  <pageMargins left="0.23" right="0.19685039370078741" top="0.16" bottom="0.31496062992125984" header="0.16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50"/>
  <sheetViews>
    <sheetView topLeftCell="A3" zoomScale="110" zoomScaleNormal="110" workbookViewId="0">
      <selection activeCell="M3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8.7109375" style="5" customWidth="1"/>
    <col min="3" max="3" width="20.7109375" style="86" customWidth="1"/>
    <col min="4" max="4" width="8.42578125" style="82" customWidth="1"/>
    <col min="5" max="6" width="10" style="82" customWidth="1"/>
    <col min="7" max="7" width="10.42578125" style="5" customWidth="1"/>
    <col min="8" max="8" width="11" style="82" customWidth="1"/>
    <col min="9" max="10" width="10.7109375" style="5" bestFit="1" customWidth="1"/>
    <col min="11" max="11" width="16.28515625" style="5" customWidth="1"/>
    <col min="12" max="12" width="11.28515625" style="5" customWidth="1"/>
    <col min="13" max="13" width="14.28515625" style="310" customWidth="1"/>
    <col min="14" max="14" width="17.140625" style="310" customWidth="1"/>
    <col min="15" max="16384" width="9.140625" style="5"/>
  </cols>
  <sheetData>
    <row r="1" spans="2:9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9" ht="24.75" customHeight="1" x14ac:dyDescent="0.35">
      <c r="B3" s="265"/>
      <c r="C3" s="265"/>
      <c r="D3" s="265"/>
      <c r="E3" s="265"/>
      <c r="F3" s="265"/>
      <c r="G3" s="265"/>
      <c r="H3" s="265"/>
      <c r="I3" s="59"/>
    </row>
    <row r="4" spans="2:9" ht="11.25" customHeight="1" x14ac:dyDescent="0.25"/>
    <row r="5" spans="2:9" x14ac:dyDescent="0.25">
      <c r="B5" s="10" t="s">
        <v>0</v>
      </c>
      <c r="C5" s="125"/>
      <c r="D5" s="234" t="s">
        <v>27</v>
      </c>
      <c r="E5" s="234"/>
    </row>
    <row r="6" spans="2:9" x14ac:dyDescent="0.25">
      <c r="B6" s="10" t="s">
        <v>1</v>
      </c>
      <c r="C6" s="125"/>
      <c r="D6" s="207">
        <v>1993</v>
      </c>
      <c r="E6" s="207"/>
    </row>
    <row r="7" spans="2:9" hidden="1" outlineLevel="1" x14ac:dyDescent="0.25">
      <c r="B7" s="10" t="s">
        <v>2</v>
      </c>
      <c r="C7" s="125"/>
      <c r="D7" s="207">
        <v>3</v>
      </c>
      <c r="E7" s="207"/>
    </row>
    <row r="8" spans="2:9" hidden="1" outlineLevel="1" x14ac:dyDescent="0.25">
      <c r="B8" s="10" t="s">
        <v>3</v>
      </c>
      <c r="C8" s="125"/>
      <c r="D8" s="207">
        <v>18</v>
      </c>
      <c r="E8" s="207"/>
    </row>
    <row r="9" spans="2:9" ht="26.25" hidden="1" outlineLevel="1" x14ac:dyDescent="0.25">
      <c r="B9" s="122" t="s">
        <v>4</v>
      </c>
      <c r="C9" s="126"/>
      <c r="D9" s="207" t="s">
        <v>28</v>
      </c>
      <c r="E9" s="207"/>
    </row>
    <row r="10" spans="2:9" collapsed="1" x14ac:dyDescent="0.25">
      <c r="B10" s="10" t="s">
        <v>5</v>
      </c>
      <c r="C10" s="125"/>
      <c r="D10" s="207" t="s">
        <v>233</v>
      </c>
      <c r="E10" s="207"/>
      <c r="I10" s="17"/>
    </row>
    <row r="11" spans="2:9" hidden="1" outlineLevel="1" x14ac:dyDescent="0.25">
      <c r="B11" s="5" t="s">
        <v>6</v>
      </c>
      <c r="D11" s="208" t="s">
        <v>13</v>
      </c>
      <c r="E11" s="208"/>
    </row>
    <row r="12" spans="2:9" ht="31.5" hidden="1" customHeight="1" outlineLevel="1" x14ac:dyDescent="0.25">
      <c r="B12" s="14" t="s">
        <v>7</v>
      </c>
      <c r="C12" s="58"/>
      <c r="D12" s="91" t="s">
        <v>29</v>
      </c>
      <c r="E12" s="208"/>
      <c r="I12" s="17"/>
    </row>
    <row r="13" spans="2:9" ht="4.5" customHeight="1" collapsed="1" x14ac:dyDescent="0.25">
      <c r="B13" s="14"/>
      <c r="C13" s="58"/>
      <c r="D13" s="91"/>
      <c r="E13" s="208"/>
      <c r="I13" s="17"/>
    </row>
    <row r="14" spans="2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9" ht="41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9" x14ac:dyDescent="0.25">
      <c r="B16" s="93" t="s">
        <v>15</v>
      </c>
      <c r="C16" s="222">
        <v>1051428</v>
      </c>
      <c r="D16" s="253"/>
      <c r="E16" s="224">
        <v>752286.4</v>
      </c>
      <c r="F16" s="225"/>
      <c r="G16" s="224">
        <v>299141.59999999998</v>
      </c>
      <c r="H16" s="226"/>
      <c r="I16" s="17"/>
    </row>
    <row r="17" spans="2:14" x14ac:dyDescent="0.25">
      <c r="B17" s="94" t="s">
        <v>16</v>
      </c>
      <c r="C17" s="220">
        <v>1017582.24</v>
      </c>
      <c r="D17" s="221"/>
      <c r="E17" s="220">
        <v>722561.14</v>
      </c>
      <c r="F17" s="221"/>
      <c r="G17" s="220">
        <v>295021.09999999998</v>
      </c>
      <c r="H17" s="251"/>
      <c r="I17" s="17"/>
    </row>
    <row r="18" spans="2:14" x14ac:dyDescent="0.25">
      <c r="B18" s="95" t="s">
        <v>189</v>
      </c>
      <c r="C18" s="220">
        <v>929864.14840000006</v>
      </c>
      <c r="D18" s="221"/>
      <c r="E18" s="246">
        <v>744964.14840000006</v>
      </c>
      <c r="F18" s="247"/>
      <c r="G18" s="246">
        <v>184900</v>
      </c>
      <c r="H18" s="252"/>
      <c r="I18" s="17"/>
    </row>
    <row r="19" spans="2:14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4" ht="25.5" thickBot="1" x14ac:dyDescent="0.3">
      <c r="B20" s="97" t="s">
        <v>297</v>
      </c>
      <c r="C20" s="216">
        <f>E20+G20</f>
        <v>98518.091599999927</v>
      </c>
      <c r="D20" s="217"/>
      <c r="E20" s="248">
        <f>E17+E19-E18</f>
        <v>-11603.00840000005</v>
      </c>
      <c r="F20" s="254"/>
      <c r="G20" s="248">
        <f>G17-G18</f>
        <v>110121.09999999998</v>
      </c>
      <c r="H20" s="249"/>
      <c r="I20" s="17"/>
    </row>
    <row r="21" spans="2:14" x14ac:dyDescent="0.25">
      <c r="B21" s="14"/>
      <c r="C21" s="64"/>
      <c r="D21" s="91"/>
      <c r="E21" s="208"/>
      <c r="I21" s="17"/>
    </row>
    <row r="22" spans="2:14" ht="20.2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I22" s="16"/>
      <c r="J22" s="16"/>
      <c r="L22" s="17"/>
      <c r="M22" s="312" t="s">
        <v>301</v>
      </c>
      <c r="N22" s="312" t="s">
        <v>302</v>
      </c>
    </row>
    <row r="23" spans="2:14" ht="35.25" customHeight="1" x14ac:dyDescent="0.25">
      <c r="B23" s="235" t="s">
        <v>196</v>
      </c>
      <c r="C23" s="237" t="s">
        <v>197</v>
      </c>
      <c r="D23" s="237" t="s">
        <v>198</v>
      </c>
      <c r="E23" s="239" t="s">
        <v>325</v>
      </c>
      <c r="F23" s="241" t="s">
        <v>199</v>
      </c>
      <c r="G23" s="242"/>
      <c r="H23" s="243" t="s">
        <v>227</v>
      </c>
      <c r="I23" s="18"/>
      <c r="J23" s="18"/>
      <c r="L23" s="17"/>
      <c r="M23" s="313"/>
      <c r="N23" s="313"/>
    </row>
    <row r="24" spans="2:14" ht="45" customHeight="1" thickBot="1" x14ac:dyDescent="0.3">
      <c r="B24" s="236"/>
      <c r="C24" s="238"/>
      <c r="D24" s="238"/>
      <c r="E24" s="240"/>
      <c r="F24" s="19" t="s">
        <v>187</v>
      </c>
      <c r="G24" s="20" t="s">
        <v>188</v>
      </c>
      <c r="H24" s="244"/>
      <c r="I24" s="18"/>
      <c r="J24" s="18"/>
      <c r="M24" s="314">
        <v>128803.05</v>
      </c>
      <c r="N24" s="314">
        <f>M24*1.01</f>
        <v>130091.08050000001</v>
      </c>
    </row>
    <row r="25" spans="2:14" ht="62.25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11759.796124031009</v>
      </c>
      <c r="G25" s="24">
        <f>$N$24/$N$25*E25</f>
        <v>11877.39408527132</v>
      </c>
      <c r="H25" s="25">
        <f>F25-G25</f>
        <v>-117.59796124031163</v>
      </c>
      <c r="I25" s="26"/>
      <c r="J25" s="26"/>
      <c r="K25" s="27"/>
      <c r="L25" s="28"/>
      <c r="M25" s="315">
        <f>E34-E32</f>
        <v>11.61</v>
      </c>
      <c r="N25" s="315">
        <f>E34-E32</f>
        <v>11.61</v>
      </c>
    </row>
    <row r="26" spans="2:14" ht="57.75" customHeight="1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13202.035271317829</v>
      </c>
      <c r="G26" s="24">
        <f>$N$24/$N$25*E26</f>
        <v>13334.055624031011</v>
      </c>
      <c r="H26" s="25">
        <f t="shared" ref="H26:H31" si="0">F26-G26</f>
        <v>-132.02035271318164</v>
      </c>
      <c r="I26" s="26"/>
      <c r="J26" s="26"/>
      <c r="K26" s="4"/>
      <c r="L26" s="4"/>
      <c r="M26" s="316"/>
      <c r="N26" s="316"/>
    </row>
    <row r="27" spans="2:14" ht="63" customHeight="1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3550.127131782946</v>
      </c>
      <c r="G27" s="24">
        <f t="shared" ref="G27:G30" si="2">$N$24/$N$25*E27</f>
        <v>3585.6284031007758</v>
      </c>
      <c r="H27" s="25">
        <f t="shared" si="0"/>
        <v>-35.501271317829833</v>
      </c>
      <c r="I27" s="26"/>
      <c r="J27" s="26"/>
      <c r="L27" s="17"/>
    </row>
    <row r="28" spans="2:14" ht="29.25" customHeight="1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($M$24/12*6)/$M$25*E28</f>
        <v>2773.5368217054261</v>
      </c>
      <c r="G28" s="24">
        <f>($N$24/12*6)/$N$25*E28</f>
        <v>2801.2721899224812</v>
      </c>
      <c r="H28" s="25">
        <f t="shared" si="0"/>
        <v>-27.735368217055111</v>
      </c>
      <c r="I28" s="26"/>
      <c r="J28" s="26"/>
      <c r="L28" s="17"/>
    </row>
    <row r="29" spans="2:14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13091.093798449612</v>
      </c>
      <c r="G29" s="24">
        <f t="shared" si="2"/>
        <v>13222.00473643411</v>
      </c>
      <c r="H29" s="25">
        <f t="shared" si="0"/>
        <v>-130.91093798449765</v>
      </c>
      <c r="I29" s="26"/>
      <c r="J29" s="26"/>
    </row>
    <row r="30" spans="2:14" ht="208.5" customHeight="1" x14ac:dyDescent="0.25">
      <c r="B30" s="29" t="s">
        <v>217</v>
      </c>
      <c r="C30" s="32" t="s">
        <v>204</v>
      </c>
      <c r="D30" s="22" t="s">
        <v>201</v>
      </c>
      <c r="E30" s="99">
        <v>5.61</v>
      </c>
      <c r="F30" s="23">
        <f t="shared" si="1"/>
        <v>62238.166279069774</v>
      </c>
      <c r="G30" s="24">
        <f t="shared" si="2"/>
        <v>62860.547941860481</v>
      </c>
      <c r="H30" s="25">
        <f t="shared" si="0"/>
        <v>-622.3816627907072</v>
      </c>
      <c r="I30" s="26"/>
      <c r="J30" s="26"/>
      <c r="K30" s="4"/>
      <c r="L30" s="3"/>
      <c r="M30" s="316"/>
      <c r="N30" s="316"/>
    </row>
    <row r="31" spans="2:14" ht="122.2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2107.8879844961243</v>
      </c>
      <c r="G31" s="24">
        <f t="shared" ref="G31" si="3">$N$24/$N$25*E31</f>
        <v>2128.9668643410855</v>
      </c>
      <c r="H31" s="25">
        <f t="shared" si="0"/>
        <v>-21.078879844961193</v>
      </c>
      <c r="I31" s="26"/>
      <c r="J31" s="26"/>
    </row>
    <row r="32" spans="2:14" ht="56.25" customHeight="1" x14ac:dyDescent="0.25">
      <c r="B32" s="30" t="s">
        <v>206</v>
      </c>
      <c r="C32" s="8" t="s">
        <v>223</v>
      </c>
      <c r="D32" s="22" t="s">
        <v>201</v>
      </c>
      <c r="E32" s="99">
        <v>4.93</v>
      </c>
      <c r="F32" s="23">
        <v>57832.33</v>
      </c>
      <c r="G32" s="6">
        <v>46692</v>
      </c>
      <c r="H32" s="25">
        <f>F32-G32</f>
        <v>11140.330000000002</v>
      </c>
      <c r="I32" s="26"/>
      <c r="J32" s="26"/>
      <c r="L32" s="17"/>
    </row>
    <row r="33" spans="2:14" ht="16.5" thickBot="1" x14ac:dyDescent="0.3">
      <c r="B33" s="30" t="s">
        <v>186</v>
      </c>
      <c r="C33" s="52" t="s">
        <v>204</v>
      </c>
      <c r="D33" s="22" t="s">
        <v>201</v>
      </c>
      <c r="E33" s="99">
        <f>1.24+0.32</f>
        <v>1.56</v>
      </c>
      <c r="F33" s="23">
        <f t="shared" si="1"/>
        <v>17306.869767441862</v>
      </c>
      <c r="G33" s="24">
        <f t="shared" ref="G33" si="4">$N$24/$N$25*E33</f>
        <v>17479.938465116284</v>
      </c>
      <c r="H33" s="33">
        <f>F33-G33</f>
        <v>-173.06869767442186</v>
      </c>
      <c r="I33" s="26"/>
      <c r="J33" s="26"/>
    </row>
    <row r="34" spans="2:14" ht="16.5" thickBot="1" x14ac:dyDescent="0.3">
      <c r="B34" s="65" t="s">
        <v>190</v>
      </c>
      <c r="C34" s="35"/>
      <c r="D34" s="35"/>
      <c r="E34" s="107">
        <f>SUM(E25:E33)</f>
        <v>16.54</v>
      </c>
      <c r="F34" s="36">
        <f>SUM(F25:F33)</f>
        <v>183861.84317829457</v>
      </c>
      <c r="G34" s="37">
        <f>SUM(G25:G33)</f>
        <v>173981.80831007755</v>
      </c>
      <c r="H34" s="38">
        <f>SUM(H25:H33)</f>
        <v>9880.0348682170352</v>
      </c>
      <c r="I34" s="39"/>
      <c r="J34" s="39"/>
    </row>
    <row r="35" spans="2:14" x14ac:dyDescent="0.25">
      <c r="B35" s="17"/>
      <c r="C35" s="17"/>
      <c r="D35" s="17"/>
      <c r="E35" s="86"/>
      <c r="F35" s="86"/>
      <c r="G35" s="125"/>
      <c r="I35" s="82"/>
      <c r="J35" s="82"/>
    </row>
    <row r="36" spans="2:14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40"/>
      <c r="J36" s="40"/>
    </row>
    <row r="37" spans="2:14" ht="44.2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41"/>
      <c r="J37" s="41"/>
      <c r="K37" s="42"/>
      <c r="L37" s="43"/>
      <c r="M37" s="317"/>
      <c r="N37" s="317"/>
    </row>
    <row r="38" spans="2:14" x14ac:dyDescent="0.25">
      <c r="B38" s="93" t="s">
        <v>15</v>
      </c>
      <c r="C38" s="222">
        <f>E38+G38</f>
        <v>1235289.8431782946</v>
      </c>
      <c r="D38" s="223"/>
      <c r="E38" s="224">
        <f>F25+F26+F27+F28+F29+F30+F31+F33+E16</f>
        <v>878315.91317829466</v>
      </c>
      <c r="F38" s="225"/>
      <c r="G38" s="224">
        <f>F32+G16</f>
        <v>356973.93</v>
      </c>
      <c r="H38" s="226"/>
      <c r="I38" s="212"/>
      <c r="J38" s="212"/>
      <c r="K38" s="9"/>
      <c r="L38" s="9"/>
      <c r="M38" s="318"/>
    </row>
    <row r="39" spans="2:14" x14ac:dyDescent="0.25">
      <c r="B39" s="94" t="s">
        <v>16</v>
      </c>
      <c r="C39" s="220">
        <f>E39+G39</f>
        <v>1206371.3900000001</v>
      </c>
      <c r="D39" s="221"/>
      <c r="E39" s="220">
        <f>E17+130289.43</f>
        <v>852850.57000000007</v>
      </c>
      <c r="F39" s="221"/>
      <c r="G39" s="220">
        <f>G17+58499.72</f>
        <v>353520.81999999995</v>
      </c>
      <c r="H39" s="251"/>
      <c r="I39" s="212"/>
      <c r="J39" s="212"/>
      <c r="K39" s="12"/>
      <c r="L39" s="9"/>
      <c r="M39" s="318"/>
    </row>
    <row r="40" spans="2:14" x14ac:dyDescent="0.25">
      <c r="B40" s="95" t="s">
        <v>189</v>
      </c>
      <c r="C40" s="220">
        <f>E40+G40</f>
        <v>1103845.9567100776</v>
      </c>
      <c r="D40" s="221"/>
      <c r="E40" s="246">
        <f>G25+G26+G27+G28+G29+G30+G31+G33+E18</f>
        <v>872253.95671007759</v>
      </c>
      <c r="F40" s="247"/>
      <c r="G40" s="246">
        <f>G32+G18</f>
        <v>231592</v>
      </c>
      <c r="H40" s="252"/>
      <c r="I40" s="212"/>
      <c r="J40" s="212"/>
      <c r="K40" s="44"/>
      <c r="L40" s="44"/>
    </row>
    <row r="41" spans="2:14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212"/>
      <c r="J41" s="212"/>
      <c r="K41" s="44"/>
      <c r="L41" s="44"/>
    </row>
    <row r="42" spans="2:14" ht="25.5" thickBot="1" x14ac:dyDescent="0.3">
      <c r="B42" s="97" t="s">
        <v>298</v>
      </c>
      <c r="C42" s="216">
        <f>E42+G42</f>
        <v>116925.43328992242</v>
      </c>
      <c r="D42" s="217"/>
      <c r="E42" s="248">
        <f>E39+E41-E40</f>
        <v>-5003.3867100775242</v>
      </c>
      <c r="F42" s="254"/>
      <c r="G42" s="248">
        <f>G39-G40</f>
        <v>121928.81999999995</v>
      </c>
      <c r="H42" s="249"/>
      <c r="I42" s="212"/>
      <c r="J42" s="212"/>
      <c r="K42" s="44"/>
      <c r="L42" s="44"/>
    </row>
    <row r="43" spans="2:14" ht="34.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205"/>
      <c r="I43" s="205"/>
      <c r="J43" s="205"/>
      <c r="K43" s="4"/>
      <c r="L43" s="4"/>
      <c r="M43" s="316"/>
      <c r="N43" s="316"/>
    </row>
    <row r="44" spans="2:14" ht="11.25" customHeight="1" x14ac:dyDescent="0.25">
      <c r="B44" s="205"/>
      <c r="C44" s="205"/>
      <c r="D44" s="205"/>
      <c r="E44" s="209"/>
      <c r="F44" s="231"/>
      <c r="G44" s="231"/>
      <c r="H44" s="210"/>
      <c r="I44" s="210"/>
      <c r="J44" s="210"/>
      <c r="K44" s="4"/>
      <c r="L44" s="4"/>
      <c r="M44" s="316"/>
      <c r="N44" s="316"/>
    </row>
    <row r="45" spans="2:14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205"/>
      <c r="I45" s="205"/>
      <c r="J45" s="205"/>
      <c r="K45" s="4"/>
      <c r="L45" s="4"/>
      <c r="M45" s="316"/>
      <c r="N45" s="316"/>
    </row>
    <row r="46" spans="2:14" ht="9.75" customHeight="1" x14ac:dyDescent="0.25">
      <c r="B46" s="205"/>
      <c r="C46" s="205"/>
      <c r="D46" s="205"/>
      <c r="E46" s="209"/>
      <c r="F46" s="230"/>
      <c r="G46" s="230"/>
      <c r="H46" s="205"/>
      <c r="I46" s="205"/>
      <c r="J46" s="205"/>
    </row>
    <row r="47" spans="2:14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205"/>
      <c r="I47" s="205"/>
      <c r="J47" s="205"/>
    </row>
    <row r="48" spans="2:14" ht="8.25" customHeight="1" x14ac:dyDescent="0.25">
      <c r="B48" s="45"/>
      <c r="C48" s="45"/>
      <c r="D48" s="45"/>
      <c r="E48" s="209"/>
      <c r="F48" s="46"/>
      <c r="G48" s="47"/>
      <c r="H48" s="48"/>
      <c r="I48" s="48"/>
      <c r="J48" s="48"/>
    </row>
    <row r="49" spans="2:8" x14ac:dyDescent="0.25">
      <c r="B49" s="205" t="s">
        <v>183</v>
      </c>
      <c r="C49" s="232" t="s">
        <v>308</v>
      </c>
      <c r="D49" s="232"/>
      <c r="E49" s="232"/>
      <c r="F49" s="230" t="s">
        <v>303</v>
      </c>
      <c r="G49" s="230"/>
      <c r="H49" s="5"/>
    </row>
    <row r="50" spans="2:8" x14ac:dyDescent="0.25">
      <c r="B50" s="49"/>
      <c r="C50" s="49"/>
      <c r="D50" s="49"/>
      <c r="E50" s="209"/>
      <c r="F50" s="229"/>
      <c r="G50" s="229"/>
    </row>
  </sheetData>
  <mergeCells count="61">
    <mergeCell ref="C43:E43"/>
    <mergeCell ref="C45:E45"/>
    <mergeCell ref="C47:E47"/>
    <mergeCell ref="C49:E49"/>
    <mergeCell ref="F50:G50"/>
    <mergeCell ref="F49:G49"/>
    <mergeCell ref="F45:G45"/>
    <mergeCell ref="F43:G43"/>
    <mergeCell ref="F44:G44"/>
    <mergeCell ref="F47:G47"/>
    <mergeCell ref="F46:G46"/>
    <mergeCell ref="C40:D40"/>
    <mergeCell ref="C41:D41"/>
    <mergeCell ref="C42:D42"/>
    <mergeCell ref="M22:M23"/>
    <mergeCell ref="N22:N23"/>
    <mergeCell ref="C37:D37"/>
    <mergeCell ref="C38:D38"/>
    <mergeCell ref="C39:D39"/>
    <mergeCell ref="E41:F41"/>
    <mergeCell ref="G41:H41"/>
    <mergeCell ref="E42:F42"/>
    <mergeCell ref="G42:H42"/>
    <mergeCell ref="B36:H36"/>
    <mergeCell ref="E37:F37"/>
    <mergeCell ref="G37:H37"/>
    <mergeCell ref="E38:F38"/>
    <mergeCell ref="C15:D15"/>
    <mergeCell ref="C16:D16"/>
    <mergeCell ref="C17:D17"/>
    <mergeCell ref="C18:D18"/>
    <mergeCell ref="C19:D19"/>
    <mergeCell ref="E17:F17"/>
    <mergeCell ref="G17:H17"/>
    <mergeCell ref="E20:F20"/>
    <mergeCell ref="G20:H20"/>
    <mergeCell ref="E18:F18"/>
    <mergeCell ref="G18:H18"/>
    <mergeCell ref="E19:F19"/>
    <mergeCell ref="G19:H19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C20:D20"/>
    <mergeCell ref="E16:F16"/>
    <mergeCell ref="G16:H16"/>
    <mergeCell ref="G38:H38"/>
    <mergeCell ref="E39:F39"/>
    <mergeCell ref="G39:H39"/>
    <mergeCell ref="E40:F40"/>
    <mergeCell ref="G40:H40"/>
  </mergeCells>
  <pageMargins left="0.2" right="0.19685039370078741" top="0.32" bottom="0.31496062992125984" header="0.31496062992125984" footer="0.31496062992125984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49"/>
  <sheetViews>
    <sheetView topLeftCell="A6" zoomScale="110" zoomScaleNormal="110" workbookViewId="0">
      <selection activeCell="M6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7.42578125" style="5" customWidth="1"/>
    <col min="3" max="3" width="19.42578125" style="86" customWidth="1"/>
    <col min="4" max="4" width="8.5703125" style="82" customWidth="1"/>
    <col min="5" max="5" width="11.28515625" style="82" customWidth="1"/>
    <col min="6" max="6" width="9.7109375" style="82" customWidth="1"/>
    <col min="7" max="7" width="10.42578125" style="5" customWidth="1"/>
    <col min="8" max="8" width="10.5703125" style="82" customWidth="1"/>
    <col min="9" max="9" width="12.7109375" style="5" customWidth="1"/>
    <col min="10" max="10" width="9.5703125" style="5" bestFit="1" customWidth="1"/>
    <col min="11" max="11" width="13.85546875" style="5" customWidth="1"/>
    <col min="12" max="12" width="11.5703125" style="5" customWidth="1"/>
    <col min="13" max="13" width="15.28515625" style="310" customWidth="1"/>
    <col min="14" max="14" width="16" style="310" customWidth="1"/>
    <col min="15" max="16384" width="9.140625" style="5"/>
  </cols>
  <sheetData>
    <row r="1" spans="2:9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9" ht="24" customHeight="1" x14ac:dyDescent="0.35">
      <c r="B3" s="265"/>
      <c r="C3" s="265"/>
      <c r="D3" s="265"/>
      <c r="E3" s="265"/>
      <c r="F3" s="265"/>
      <c r="G3" s="265"/>
      <c r="H3" s="265"/>
      <c r="I3" s="59"/>
    </row>
    <row r="4" spans="2:9" ht="12.75" customHeight="1" x14ac:dyDescent="0.25"/>
    <row r="5" spans="2:9" x14ac:dyDescent="0.25">
      <c r="B5" s="10" t="s">
        <v>0</v>
      </c>
      <c r="C5" s="125"/>
      <c r="D5" s="234" t="s">
        <v>30</v>
      </c>
      <c r="E5" s="234"/>
    </row>
    <row r="6" spans="2:9" x14ac:dyDescent="0.25">
      <c r="B6" s="10" t="s">
        <v>1</v>
      </c>
      <c r="C6" s="125"/>
      <c r="D6" s="207">
        <v>1959</v>
      </c>
      <c r="E6" s="207"/>
    </row>
    <row r="7" spans="2:9" hidden="1" outlineLevel="1" x14ac:dyDescent="0.25">
      <c r="B7" s="10" t="s">
        <v>2</v>
      </c>
      <c r="C7" s="125"/>
      <c r="D7" s="207">
        <v>2</v>
      </c>
      <c r="E7" s="207"/>
    </row>
    <row r="8" spans="2:9" hidden="1" outlineLevel="1" x14ac:dyDescent="0.25">
      <c r="B8" s="10" t="s">
        <v>3</v>
      </c>
      <c r="C8" s="125"/>
      <c r="D8" s="207">
        <v>15</v>
      </c>
      <c r="E8" s="207"/>
    </row>
    <row r="9" spans="2:9" ht="26.25" hidden="1" outlineLevel="1" x14ac:dyDescent="0.25">
      <c r="B9" s="122" t="s">
        <v>4</v>
      </c>
      <c r="C9" s="126"/>
      <c r="D9" s="207" t="s">
        <v>31</v>
      </c>
      <c r="E9" s="207"/>
    </row>
    <row r="10" spans="2:9" collapsed="1" x14ac:dyDescent="0.25">
      <c r="B10" s="10" t="s">
        <v>5</v>
      </c>
      <c r="C10" s="125"/>
      <c r="D10" s="207" t="s">
        <v>234</v>
      </c>
      <c r="E10" s="207"/>
      <c r="I10" s="17"/>
    </row>
    <row r="11" spans="2:9" hidden="1" outlineLevel="1" x14ac:dyDescent="0.25">
      <c r="B11" s="5" t="s">
        <v>6</v>
      </c>
      <c r="D11" s="208" t="s">
        <v>32</v>
      </c>
      <c r="E11" s="208"/>
    </row>
    <row r="12" spans="2:9" ht="31.5" hidden="1" customHeight="1" outlineLevel="1" x14ac:dyDescent="0.25">
      <c r="B12" s="14" t="s">
        <v>7</v>
      </c>
      <c r="C12" s="58"/>
      <c r="D12" s="91" t="s">
        <v>33</v>
      </c>
      <c r="E12" s="208"/>
      <c r="I12" s="17"/>
    </row>
    <row r="13" spans="2:9" collapsed="1" x14ac:dyDescent="0.25">
      <c r="B13" s="14"/>
      <c r="C13" s="58"/>
      <c r="D13" s="91"/>
      <c r="E13" s="208"/>
      <c r="I13" s="17"/>
    </row>
    <row r="14" spans="2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9" ht="45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9" x14ac:dyDescent="0.25">
      <c r="B16" s="93" t="s">
        <v>15</v>
      </c>
      <c r="C16" s="222">
        <v>529237.78</v>
      </c>
      <c r="D16" s="253"/>
      <c r="E16" s="222">
        <v>378591.11000000004</v>
      </c>
      <c r="F16" s="253"/>
      <c r="G16" s="224">
        <v>150646.67000000001</v>
      </c>
      <c r="H16" s="226"/>
      <c r="I16" s="17"/>
    </row>
    <row r="17" spans="2:14" x14ac:dyDescent="0.25">
      <c r="B17" s="94" t="s">
        <v>16</v>
      </c>
      <c r="C17" s="220">
        <v>501731.56999999995</v>
      </c>
      <c r="D17" s="221"/>
      <c r="E17" s="220">
        <v>358641.06999999995</v>
      </c>
      <c r="F17" s="221"/>
      <c r="G17" s="220">
        <v>143090.5</v>
      </c>
      <c r="H17" s="251"/>
      <c r="I17" s="17"/>
    </row>
    <row r="18" spans="2:14" ht="16.5" thickBot="1" x14ac:dyDescent="0.3">
      <c r="B18" s="95" t="s">
        <v>189</v>
      </c>
      <c r="C18" s="220">
        <v>537880.70925000007</v>
      </c>
      <c r="D18" s="221"/>
      <c r="E18" s="220">
        <v>386249.70925000007</v>
      </c>
      <c r="F18" s="221"/>
      <c r="G18" s="246">
        <v>151631</v>
      </c>
      <c r="H18" s="252"/>
      <c r="I18" s="17"/>
    </row>
    <row r="19" spans="2:14" ht="27" customHeight="1" thickBot="1" x14ac:dyDescent="0.3">
      <c r="B19" s="97" t="s">
        <v>297</v>
      </c>
      <c r="C19" s="216">
        <f>E19+G19</f>
        <v>-36149.139250000124</v>
      </c>
      <c r="D19" s="217"/>
      <c r="E19" s="248">
        <f>E17-E18</f>
        <v>-27608.639250000124</v>
      </c>
      <c r="F19" s="254"/>
      <c r="G19" s="248">
        <f>G17-G18</f>
        <v>-8540.5</v>
      </c>
      <c r="H19" s="249"/>
      <c r="I19" s="17"/>
    </row>
    <row r="20" spans="2:14" x14ac:dyDescent="0.25">
      <c r="B20" s="14"/>
      <c r="C20" s="64"/>
      <c r="D20" s="91"/>
      <c r="E20" s="208"/>
      <c r="I20" s="17"/>
    </row>
    <row r="21" spans="2:14" ht="18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35.2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4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64426.32</v>
      </c>
      <c r="N23" s="314">
        <f>M23*1.01</f>
        <v>65070.583200000001</v>
      </c>
    </row>
    <row r="24" spans="2:14" ht="61.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5787.4490847457646</v>
      </c>
      <c r="G24" s="24">
        <f>$N$23/$N$24*E24</f>
        <v>5845.3235755932219</v>
      </c>
      <c r="H24" s="25">
        <f>F24-G24</f>
        <v>-57.874490847457309</v>
      </c>
      <c r="I24" s="26"/>
      <c r="J24" s="26"/>
      <c r="K24" s="27"/>
      <c r="L24" s="28"/>
      <c r="M24" s="315">
        <f>E34-E32</f>
        <v>11.799999999999997</v>
      </c>
      <c r="N24" s="315">
        <f>E34-E32</f>
        <v>11.799999999999997</v>
      </c>
    </row>
    <row r="25" spans="2:14" ht="61.5" customHeight="1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6497.2305762711885</v>
      </c>
      <c r="G25" s="24">
        <f>$N$23/$N$24*E25</f>
        <v>6562.2028820339001</v>
      </c>
      <c r="H25" s="25">
        <f t="shared" ref="H25:H31" si="0">F25-G25</f>
        <v>-64.972305762711585</v>
      </c>
      <c r="I25" s="26"/>
      <c r="J25" s="26"/>
      <c r="K25" s="4"/>
      <c r="L25" s="4"/>
      <c r="M25" s="316"/>
      <c r="N25" s="316"/>
    </row>
    <row r="26" spans="2:14" ht="22.5" customHeight="1" x14ac:dyDescent="0.25">
      <c r="B26" s="30" t="s">
        <v>309</v>
      </c>
      <c r="C26" s="136" t="s">
        <v>310</v>
      </c>
      <c r="D26" s="22" t="s">
        <v>201</v>
      </c>
      <c r="E26" s="99">
        <v>0</v>
      </c>
      <c r="F26" s="23"/>
      <c r="G26" s="24"/>
      <c r="H26" s="25">
        <f t="shared" si="0"/>
        <v>0</v>
      </c>
      <c r="I26" s="26"/>
      <c r="J26" s="26"/>
      <c r="K26" s="4"/>
      <c r="L26" s="4"/>
      <c r="M26" s="316"/>
      <c r="N26" s="316"/>
    </row>
    <row r="27" spans="2:14" ht="66.75" customHeight="1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$M$23/$M$24*E27</f>
        <v>1747.1544406779667</v>
      </c>
      <c r="G27" s="24">
        <f t="shared" ref="G27:G30" si="2">$N$23/$N$24*E27</f>
        <v>1764.6259850847462</v>
      </c>
      <c r="H27" s="25">
        <f t="shared" si="0"/>
        <v>-17.471544406779458</v>
      </c>
      <c r="I27" s="26"/>
      <c r="J27" s="26"/>
      <c r="L27" s="17"/>
    </row>
    <row r="28" spans="2:14" ht="29.25" customHeight="1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 t="shared" si="1"/>
        <v>2729.9288135593229</v>
      </c>
      <c r="G28" s="24">
        <f t="shared" si="2"/>
        <v>2757.2281016949159</v>
      </c>
      <c r="H28" s="25">
        <f t="shared" si="0"/>
        <v>-27.299288135593088</v>
      </c>
      <c r="I28" s="26"/>
      <c r="J28" s="26"/>
      <c r="L28" s="17"/>
    </row>
    <row r="29" spans="2:14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6442.6320000000014</v>
      </c>
      <c r="G29" s="24">
        <f t="shared" si="2"/>
        <v>6507.058320000001</v>
      </c>
      <c r="H29" s="25">
        <f t="shared" si="0"/>
        <v>-64.426319999999578</v>
      </c>
      <c r="I29" s="26"/>
      <c r="J29" s="26"/>
    </row>
    <row r="30" spans="2:14" ht="212.25" customHeight="1" x14ac:dyDescent="0.25">
      <c r="B30" s="29" t="s">
        <v>217</v>
      </c>
      <c r="C30" s="32" t="s">
        <v>204</v>
      </c>
      <c r="D30" s="22" t="s">
        <v>201</v>
      </c>
      <c r="E30" s="99">
        <v>5.61</v>
      </c>
      <c r="F30" s="23">
        <f t="shared" si="1"/>
        <v>30629.801288135604</v>
      </c>
      <c r="G30" s="24">
        <f t="shared" si="2"/>
        <v>30936.099301016959</v>
      </c>
      <c r="H30" s="25">
        <f t="shared" si="0"/>
        <v>-306.29801288135423</v>
      </c>
      <c r="I30" s="26"/>
      <c r="J30" s="26"/>
      <c r="K30" s="4"/>
      <c r="L30" s="3"/>
      <c r="M30" s="316"/>
      <c r="N30" s="316"/>
    </row>
    <row r="31" spans="2:14" ht="111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1037.3729491525428</v>
      </c>
      <c r="G31" s="24">
        <f t="shared" ref="G31" si="3">$N$23/$N$24*E31</f>
        <v>1047.746678644068</v>
      </c>
      <c r="H31" s="25">
        <f t="shared" si="0"/>
        <v>-10.373729491525182</v>
      </c>
      <c r="I31" s="26"/>
      <c r="J31" s="26"/>
    </row>
    <row r="32" spans="2:14" ht="56.25" customHeight="1" x14ac:dyDescent="0.25">
      <c r="B32" s="30" t="s">
        <v>206</v>
      </c>
      <c r="C32" s="8" t="s">
        <v>223</v>
      </c>
      <c r="D32" s="22" t="s">
        <v>201</v>
      </c>
      <c r="E32" s="99">
        <v>4.93</v>
      </c>
      <c r="F32" s="23">
        <v>28927.3</v>
      </c>
      <c r="G32" s="6">
        <v>29007</v>
      </c>
      <c r="H32" s="25">
        <f>F32-G32</f>
        <v>-79.700000000000728</v>
      </c>
      <c r="I32" s="26"/>
      <c r="J32" s="26"/>
      <c r="L32" s="17"/>
    </row>
    <row r="33" spans="2:14" ht="16.5" thickBot="1" x14ac:dyDescent="0.3">
      <c r="B33" s="51" t="s">
        <v>186</v>
      </c>
      <c r="C33" s="52" t="s">
        <v>204</v>
      </c>
      <c r="D33" s="53" t="s">
        <v>201</v>
      </c>
      <c r="E33" s="103">
        <f>1.43+0.32</f>
        <v>1.75</v>
      </c>
      <c r="F33" s="23">
        <f t="shared" si="1"/>
        <v>9554.7508474576298</v>
      </c>
      <c r="G33" s="24">
        <f t="shared" ref="G33" si="4">$N$23/$N$24*E33</f>
        <v>9650.2983559322056</v>
      </c>
      <c r="H33" s="33">
        <f>F33-G33</f>
        <v>-95.547508474575807</v>
      </c>
      <c r="I33" s="26"/>
      <c r="J33" s="26"/>
    </row>
    <row r="34" spans="2:14" ht="16.5" thickBot="1" x14ac:dyDescent="0.3">
      <c r="B34" s="66" t="s">
        <v>190</v>
      </c>
      <c r="C34" s="55"/>
      <c r="D34" s="55"/>
      <c r="E34" s="101">
        <f>SUM(E24:E33)</f>
        <v>16.729999999999997</v>
      </c>
      <c r="F34" s="56">
        <f>SUM(F24:F33)</f>
        <v>93353.620000000024</v>
      </c>
      <c r="G34" s="57">
        <f>SUM(G24:G33)</f>
        <v>94077.583200000023</v>
      </c>
      <c r="H34" s="38">
        <f>SUM(H24:H33)</f>
        <v>-723.96319999999696</v>
      </c>
      <c r="I34" s="39"/>
      <c r="J34" s="39"/>
    </row>
    <row r="35" spans="2:14" x14ac:dyDescent="0.25">
      <c r="B35" s="17"/>
      <c r="C35" s="17"/>
      <c r="D35" s="17"/>
      <c r="E35" s="86"/>
      <c r="F35" s="86"/>
      <c r="G35" s="86"/>
      <c r="I35" s="82"/>
      <c r="J35" s="82"/>
    </row>
    <row r="36" spans="2:14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40"/>
      <c r="J36" s="40"/>
    </row>
    <row r="37" spans="2:14" ht="44.2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41"/>
      <c r="J37" s="41"/>
      <c r="K37" s="42"/>
      <c r="L37" s="43"/>
      <c r="M37" s="317"/>
      <c r="N37" s="317"/>
    </row>
    <row r="38" spans="2:14" x14ac:dyDescent="0.25">
      <c r="B38" s="93" t="s">
        <v>15</v>
      </c>
      <c r="C38" s="222">
        <f>E38+G38</f>
        <v>622591.4</v>
      </c>
      <c r="D38" s="223"/>
      <c r="E38" s="224">
        <f>F24+F25+F27+F28+F29+F30+F31+F33+E16</f>
        <v>443017.43000000005</v>
      </c>
      <c r="F38" s="225"/>
      <c r="G38" s="224">
        <f>F32+G16</f>
        <v>179573.97</v>
      </c>
      <c r="H38" s="226"/>
      <c r="I38" s="212"/>
      <c r="J38" s="212"/>
      <c r="K38" s="9"/>
      <c r="L38" s="9"/>
      <c r="M38" s="318"/>
    </row>
    <row r="39" spans="2:14" x14ac:dyDescent="0.25">
      <c r="B39" s="94" t="s">
        <v>16</v>
      </c>
      <c r="C39" s="220">
        <f>E39+G39</f>
        <v>591072.17999999993</v>
      </c>
      <c r="D39" s="221"/>
      <c r="E39" s="220">
        <f>E17+61656.81</f>
        <v>420297.87999999995</v>
      </c>
      <c r="F39" s="221"/>
      <c r="G39" s="220">
        <f>G17+27683.8</f>
        <v>170774.3</v>
      </c>
      <c r="H39" s="251"/>
      <c r="I39" s="212"/>
      <c r="J39" s="212"/>
      <c r="K39" s="12"/>
      <c r="L39" s="9"/>
      <c r="M39" s="318"/>
    </row>
    <row r="40" spans="2:14" ht="16.5" thickBot="1" x14ac:dyDescent="0.3">
      <c r="B40" s="95" t="s">
        <v>189</v>
      </c>
      <c r="C40" s="227">
        <f>E40+G40</f>
        <v>631958.29245000007</v>
      </c>
      <c r="D40" s="228"/>
      <c r="E40" s="246">
        <f>G24+G25+G27+G28+G29+G30+G31+G33+E18+G26</f>
        <v>451320.29245000007</v>
      </c>
      <c r="F40" s="247"/>
      <c r="G40" s="246">
        <f>G32+G18</f>
        <v>180638</v>
      </c>
      <c r="H40" s="252"/>
      <c r="I40" s="212"/>
      <c r="J40" s="212"/>
      <c r="K40" s="44"/>
      <c r="L40" s="44"/>
    </row>
    <row r="41" spans="2:14" ht="25.5" thickBot="1" x14ac:dyDescent="0.3">
      <c r="B41" s="97" t="s">
        <v>298</v>
      </c>
      <c r="C41" s="216">
        <f>E41+G41</f>
        <v>-40886.112450000132</v>
      </c>
      <c r="D41" s="217"/>
      <c r="E41" s="248">
        <f>E39-E40</f>
        <v>-31022.41245000012</v>
      </c>
      <c r="F41" s="254"/>
      <c r="G41" s="248">
        <f>G39-G40</f>
        <v>-9863.7000000000116</v>
      </c>
      <c r="H41" s="249"/>
      <c r="I41" s="212"/>
      <c r="J41" s="212"/>
      <c r="K41" s="44"/>
      <c r="L41" s="44"/>
    </row>
    <row r="42" spans="2:14" ht="34.5" customHeight="1" x14ac:dyDescent="0.25">
      <c r="B42" s="205" t="s">
        <v>180</v>
      </c>
      <c r="C42" s="232" t="s">
        <v>308</v>
      </c>
      <c r="D42" s="232"/>
      <c r="E42" s="232"/>
      <c r="F42" s="230" t="s">
        <v>10</v>
      </c>
      <c r="G42" s="230"/>
      <c r="H42" s="205"/>
      <c r="I42" s="205"/>
      <c r="J42" s="205"/>
      <c r="K42" s="4"/>
      <c r="L42" s="4"/>
      <c r="M42" s="316"/>
      <c r="N42" s="316"/>
    </row>
    <row r="43" spans="2:14" ht="11.25" customHeight="1" x14ac:dyDescent="0.25">
      <c r="B43" s="205"/>
      <c r="C43" s="205"/>
      <c r="D43" s="205"/>
      <c r="E43" s="209"/>
      <c r="F43" s="231"/>
      <c r="G43" s="231"/>
      <c r="H43" s="210"/>
      <c r="I43" s="210"/>
      <c r="J43" s="210"/>
      <c r="K43" s="4"/>
      <c r="L43" s="4"/>
      <c r="M43" s="316"/>
      <c r="N43" s="316"/>
    </row>
    <row r="44" spans="2:14" x14ac:dyDescent="0.25">
      <c r="B44" s="205" t="s">
        <v>181</v>
      </c>
      <c r="C44" s="232" t="s">
        <v>308</v>
      </c>
      <c r="D44" s="232"/>
      <c r="E44" s="232"/>
      <c r="F44" s="230" t="s">
        <v>208</v>
      </c>
      <c r="G44" s="230"/>
      <c r="H44" s="205"/>
      <c r="I44" s="205"/>
      <c r="J44" s="205"/>
      <c r="K44" s="4"/>
      <c r="L44" s="4"/>
      <c r="M44" s="316"/>
      <c r="N44" s="316"/>
    </row>
    <row r="45" spans="2:14" ht="9.75" customHeight="1" x14ac:dyDescent="0.25">
      <c r="B45" s="205"/>
      <c r="C45" s="205"/>
      <c r="D45" s="205"/>
      <c r="E45" s="209"/>
      <c r="F45" s="230"/>
      <c r="G45" s="230"/>
      <c r="H45" s="205"/>
      <c r="I45" s="205"/>
      <c r="J45" s="205"/>
    </row>
    <row r="46" spans="2:14" x14ac:dyDescent="0.25">
      <c r="B46" s="205" t="s">
        <v>182</v>
      </c>
      <c r="C46" s="232" t="s">
        <v>308</v>
      </c>
      <c r="D46" s="232"/>
      <c r="E46" s="232"/>
      <c r="F46" s="230" t="s">
        <v>209</v>
      </c>
      <c r="G46" s="230"/>
      <c r="H46" s="205"/>
      <c r="I46" s="205"/>
      <c r="J46" s="205"/>
    </row>
    <row r="47" spans="2:14" ht="8.25" customHeight="1" x14ac:dyDescent="0.25">
      <c r="B47" s="45"/>
      <c r="C47" s="45"/>
      <c r="D47" s="45"/>
      <c r="E47" s="209"/>
      <c r="F47" s="46"/>
      <c r="G47" s="47"/>
      <c r="H47" s="48"/>
      <c r="I47" s="48"/>
      <c r="J47" s="48"/>
    </row>
    <row r="48" spans="2:14" x14ac:dyDescent="0.25">
      <c r="B48" s="205" t="s">
        <v>183</v>
      </c>
      <c r="C48" s="232" t="s">
        <v>308</v>
      </c>
      <c r="D48" s="232"/>
      <c r="E48" s="232"/>
      <c r="F48" s="230" t="s">
        <v>209</v>
      </c>
      <c r="G48" s="230"/>
      <c r="H48" s="5"/>
    </row>
    <row r="49" spans="5:5" ht="8.25" customHeight="1" x14ac:dyDescent="0.25">
      <c r="E49" s="209"/>
    </row>
  </sheetData>
  <mergeCells count="54">
    <mergeCell ref="C44:E44"/>
    <mergeCell ref="C46:E46"/>
    <mergeCell ref="C48:E48"/>
    <mergeCell ref="M21:M22"/>
    <mergeCell ref="N21:N22"/>
    <mergeCell ref="C37:D37"/>
    <mergeCell ref="C38:D38"/>
    <mergeCell ref="C39:D39"/>
    <mergeCell ref="F43:G43"/>
    <mergeCell ref="F44:G44"/>
    <mergeCell ref="F45:G45"/>
    <mergeCell ref="F46:G46"/>
    <mergeCell ref="F48:G48"/>
    <mergeCell ref="F42:G42"/>
    <mergeCell ref="E41:F41"/>
    <mergeCell ref="G41:H41"/>
    <mergeCell ref="C15:D15"/>
    <mergeCell ref="C16:D16"/>
    <mergeCell ref="C17:D17"/>
    <mergeCell ref="C18:D18"/>
    <mergeCell ref="C19:D19"/>
    <mergeCell ref="G18:H18"/>
    <mergeCell ref="E16:F16"/>
    <mergeCell ref="G16:H16"/>
    <mergeCell ref="E17:F17"/>
    <mergeCell ref="G17:H17"/>
    <mergeCell ref="E18:F18"/>
    <mergeCell ref="C41:D41"/>
    <mergeCell ref="B36:H36"/>
    <mergeCell ref="E37:F37"/>
    <mergeCell ref="G37:H37"/>
    <mergeCell ref="E38:F38"/>
    <mergeCell ref="G38:H38"/>
    <mergeCell ref="E39:F39"/>
    <mergeCell ref="G39:H39"/>
    <mergeCell ref="E40:F40"/>
    <mergeCell ref="G40:H40"/>
    <mergeCell ref="C40:D40"/>
    <mergeCell ref="C42:E42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9:F19"/>
    <mergeCell ref="G19:H19"/>
  </mergeCells>
  <pageMargins left="0.41" right="0.19685039370078741" top="0.16" bottom="0.23622047244094491" header="0.53" footer="0.25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53"/>
  <sheetViews>
    <sheetView topLeftCell="A16" zoomScale="110" zoomScaleNormal="110" workbookViewId="0">
      <selection activeCell="M16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7109375" style="5" customWidth="1"/>
    <col min="3" max="3" width="22" style="63" customWidth="1"/>
    <col min="4" max="4" width="8.85546875" style="82" customWidth="1"/>
    <col min="5" max="5" width="9.85546875" style="82" customWidth="1"/>
    <col min="6" max="6" width="10" style="82" customWidth="1"/>
    <col min="7" max="7" width="10.28515625" style="5" customWidth="1"/>
    <col min="8" max="8" width="10.85546875" style="82" customWidth="1"/>
    <col min="9" max="9" width="10.7109375" style="5" bestFit="1" customWidth="1"/>
    <col min="10" max="10" width="11.28515625" style="5" customWidth="1"/>
    <col min="11" max="11" width="13.85546875" style="5" customWidth="1"/>
    <col min="12" max="12" width="12.28515625" style="5" customWidth="1"/>
    <col min="13" max="13" width="16.5703125" style="310" customWidth="1"/>
    <col min="14" max="14" width="15" style="310" customWidth="1"/>
    <col min="15" max="16384" width="9.140625" style="5"/>
  </cols>
  <sheetData>
    <row r="1" spans="2:9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9" ht="24" customHeight="1" x14ac:dyDescent="0.35">
      <c r="B3" s="265"/>
      <c r="C3" s="265"/>
      <c r="D3" s="265"/>
      <c r="E3" s="265"/>
      <c r="F3" s="265"/>
      <c r="G3" s="265"/>
      <c r="H3" s="265"/>
      <c r="I3" s="59"/>
    </row>
    <row r="4" spans="2:9" ht="12.75" customHeight="1" x14ac:dyDescent="0.25"/>
    <row r="5" spans="2:9" x14ac:dyDescent="0.25">
      <c r="B5" s="10" t="s">
        <v>0</v>
      </c>
      <c r="C5" s="127"/>
      <c r="D5" s="234" t="s">
        <v>34</v>
      </c>
      <c r="E5" s="234"/>
    </row>
    <row r="6" spans="2:9" x14ac:dyDescent="0.25">
      <c r="B6" s="10" t="s">
        <v>1</v>
      </c>
      <c r="C6" s="127"/>
      <c r="D6" s="207">
        <v>1959</v>
      </c>
      <c r="E6" s="207"/>
    </row>
    <row r="7" spans="2:9" hidden="1" outlineLevel="1" x14ac:dyDescent="0.25">
      <c r="B7" s="10" t="s">
        <v>2</v>
      </c>
      <c r="C7" s="127"/>
      <c r="D7" s="207">
        <v>2</v>
      </c>
      <c r="E7" s="207"/>
    </row>
    <row r="8" spans="2:9" hidden="1" outlineLevel="1" x14ac:dyDescent="0.25">
      <c r="B8" s="10" t="s">
        <v>3</v>
      </c>
      <c r="C8" s="127"/>
      <c r="D8" s="207">
        <v>16</v>
      </c>
      <c r="E8" s="207"/>
    </row>
    <row r="9" spans="2:9" ht="26.25" hidden="1" outlineLevel="1" x14ac:dyDescent="0.25">
      <c r="B9" s="122" t="s">
        <v>4</v>
      </c>
      <c r="C9" s="128"/>
      <c r="D9" s="207" t="s">
        <v>35</v>
      </c>
      <c r="E9" s="207"/>
    </row>
    <row r="10" spans="2:9" collapsed="1" x14ac:dyDescent="0.25">
      <c r="B10" s="10" t="s">
        <v>5</v>
      </c>
      <c r="C10" s="127"/>
      <c r="D10" s="207" t="s">
        <v>235</v>
      </c>
      <c r="E10" s="207"/>
      <c r="I10" s="17"/>
    </row>
    <row r="11" spans="2:9" hidden="1" outlineLevel="1" x14ac:dyDescent="0.25">
      <c r="B11" s="5" t="s">
        <v>6</v>
      </c>
      <c r="D11" s="208" t="s">
        <v>13</v>
      </c>
      <c r="E11" s="208"/>
    </row>
    <row r="12" spans="2:9" ht="31.5" hidden="1" customHeight="1" outlineLevel="1" x14ac:dyDescent="0.25">
      <c r="B12" s="14" t="s">
        <v>7</v>
      </c>
      <c r="C12" s="64"/>
      <c r="D12" s="91" t="s">
        <v>36</v>
      </c>
      <c r="E12" s="208"/>
      <c r="I12" s="17"/>
    </row>
    <row r="13" spans="2:9" collapsed="1" x14ac:dyDescent="0.25">
      <c r="B13" s="14"/>
      <c r="C13" s="64"/>
      <c r="D13" s="91"/>
      <c r="E13" s="208"/>
      <c r="I13" s="17"/>
    </row>
    <row r="14" spans="2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9" ht="43.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9" x14ac:dyDescent="0.25">
      <c r="B16" s="93" t="s">
        <v>15</v>
      </c>
      <c r="C16" s="222">
        <v>567576.18000000005</v>
      </c>
      <c r="D16" s="253"/>
      <c r="E16" s="224">
        <v>403862.21000000008</v>
      </c>
      <c r="F16" s="225"/>
      <c r="G16" s="224">
        <v>163713.97</v>
      </c>
      <c r="H16" s="226"/>
      <c r="I16" s="17"/>
    </row>
    <row r="17" spans="2:14" x14ac:dyDescent="0.25">
      <c r="B17" s="94" t="s">
        <v>16</v>
      </c>
      <c r="C17" s="220">
        <v>561983.58000000007</v>
      </c>
      <c r="D17" s="221"/>
      <c r="E17" s="220">
        <v>400060.43000000005</v>
      </c>
      <c r="F17" s="221"/>
      <c r="G17" s="220">
        <v>161923.15</v>
      </c>
      <c r="H17" s="251"/>
      <c r="I17" s="17"/>
    </row>
    <row r="18" spans="2:14" x14ac:dyDescent="0.25">
      <c r="B18" s="95" t="s">
        <v>189</v>
      </c>
      <c r="C18" s="220">
        <v>639334.47120000003</v>
      </c>
      <c r="D18" s="221"/>
      <c r="E18" s="246">
        <v>411349.47120000003</v>
      </c>
      <c r="F18" s="247"/>
      <c r="G18" s="246">
        <v>227985</v>
      </c>
      <c r="H18" s="252"/>
      <c r="I18" s="17"/>
    </row>
    <row r="19" spans="2:14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4" ht="36.75" thickBot="1" x14ac:dyDescent="0.3">
      <c r="B20" s="97" t="s">
        <v>297</v>
      </c>
      <c r="C20" s="216">
        <f>E20+G20</f>
        <v>-66550.891199999984</v>
      </c>
      <c r="D20" s="217"/>
      <c r="E20" s="248">
        <f>E17+E19-E18</f>
        <v>-489.04119999997783</v>
      </c>
      <c r="F20" s="254"/>
      <c r="G20" s="248">
        <f>G17-G18</f>
        <v>-66061.850000000006</v>
      </c>
      <c r="H20" s="249"/>
      <c r="I20" s="17"/>
    </row>
    <row r="21" spans="2:14" x14ac:dyDescent="0.25">
      <c r="B21" s="14"/>
      <c r="C21" s="64"/>
      <c r="D21" s="91"/>
      <c r="E21" s="208"/>
      <c r="I21" s="17"/>
    </row>
    <row r="22" spans="2:14" ht="21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I22" s="16"/>
      <c r="J22" s="16"/>
      <c r="L22" s="17"/>
      <c r="M22" s="312" t="s">
        <v>301</v>
      </c>
      <c r="N22" s="312" t="s">
        <v>302</v>
      </c>
    </row>
    <row r="23" spans="2:14" ht="35.25" customHeight="1" x14ac:dyDescent="0.25">
      <c r="B23" s="235" t="s">
        <v>196</v>
      </c>
      <c r="C23" s="237" t="s">
        <v>197</v>
      </c>
      <c r="D23" s="237" t="s">
        <v>198</v>
      </c>
      <c r="E23" s="239" t="s">
        <v>325</v>
      </c>
      <c r="F23" s="241" t="s">
        <v>199</v>
      </c>
      <c r="G23" s="242"/>
      <c r="H23" s="243" t="s">
        <v>227</v>
      </c>
      <c r="I23" s="18"/>
      <c r="J23" s="18"/>
      <c r="L23" s="17"/>
      <c r="M23" s="313"/>
      <c r="N23" s="313"/>
    </row>
    <row r="24" spans="2:14" ht="45" customHeight="1" thickBot="1" x14ac:dyDescent="0.3">
      <c r="B24" s="236"/>
      <c r="C24" s="238"/>
      <c r="D24" s="238"/>
      <c r="E24" s="240"/>
      <c r="F24" s="19" t="s">
        <v>187</v>
      </c>
      <c r="G24" s="20" t="s">
        <v>188</v>
      </c>
      <c r="H24" s="244"/>
      <c r="I24" s="18"/>
      <c r="J24" s="18"/>
      <c r="M24" s="314">
        <v>68133.64</v>
      </c>
      <c r="N24" s="314">
        <f>M24*1.01</f>
        <v>68814.9764</v>
      </c>
    </row>
    <row r="25" spans="2:14" ht="50.25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6454.1249687220743</v>
      </c>
      <c r="G25" s="24">
        <f>$N$24/$N$25*E25</f>
        <v>6518.6662184092957</v>
      </c>
      <c r="H25" s="25">
        <f>F25-G25</f>
        <v>-64.541249687221352</v>
      </c>
      <c r="I25" s="26"/>
      <c r="J25" s="26"/>
      <c r="K25" s="27"/>
      <c r="L25" s="28"/>
      <c r="M25" s="315">
        <f>E35-E33</f>
        <v>11.189999999999998</v>
      </c>
      <c r="N25" s="315">
        <f>E35-E33</f>
        <v>11.189999999999998</v>
      </c>
    </row>
    <row r="26" spans="2:14" ht="56.25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7245.6685969615737</v>
      </c>
      <c r="G26" s="24">
        <f>$N$24/$N$25*E26</f>
        <v>7318.1252829311898</v>
      </c>
      <c r="H26" s="25">
        <f t="shared" ref="H26:H32" si="0">F26-G26</f>
        <v>-72.456685969616046</v>
      </c>
      <c r="I26" s="26"/>
      <c r="J26" s="26"/>
      <c r="K26" s="4"/>
      <c r="L26" s="4"/>
      <c r="M26" s="316"/>
      <c r="N26" s="316"/>
    </row>
    <row r="27" spans="2:14" ht="55.5" customHeight="1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1" si="1">$M$24/$M$25*E27</f>
        <v>1948.4150848972299</v>
      </c>
      <c r="G27" s="24">
        <f t="shared" ref="G27:G31" si="2">$N$24/$N$25*E27</f>
        <v>1967.8992357462025</v>
      </c>
      <c r="H27" s="25">
        <f t="shared" si="0"/>
        <v>-19.484150848972604</v>
      </c>
      <c r="I27" s="26"/>
      <c r="J27" s="26"/>
      <c r="L27" s="17"/>
    </row>
    <row r="28" spans="2:14" ht="20.25" customHeight="1" x14ac:dyDescent="0.25">
      <c r="B28" s="30" t="s">
        <v>309</v>
      </c>
      <c r="C28" s="8" t="s">
        <v>310</v>
      </c>
      <c r="D28" s="22" t="s">
        <v>201</v>
      </c>
      <c r="E28" s="99">
        <v>0</v>
      </c>
      <c r="F28" s="23">
        <v>0</v>
      </c>
      <c r="G28" s="24"/>
      <c r="H28" s="25">
        <f t="shared" si="0"/>
        <v>0</v>
      </c>
      <c r="I28" s="26"/>
      <c r="J28" s="26"/>
      <c r="L28" s="17"/>
    </row>
    <row r="29" spans="2:14" ht="29.25" customHeight="1" x14ac:dyDescent="0.25">
      <c r="B29" s="30" t="s">
        <v>185</v>
      </c>
      <c r="C29" s="31" t="s">
        <v>203</v>
      </c>
      <c r="D29" s="22" t="s">
        <v>201</v>
      </c>
      <c r="E29" s="99">
        <v>0.5</v>
      </c>
      <c r="F29" s="23">
        <f t="shared" si="1"/>
        <v>3044.3985701519218</v>
      </c>
      <c r="G29" s="24">
        <f t="shared" si="2"/>
        <v>3074.8425558534414</v>
      </c>
      <c r="H29" s="25">
        <f t="shared" si="0"/>
        <v>-30.443985701519523</v>
      </c>
      <c r="I29" s="26"/>
      <c r="J29" s="26"/>
      <c r="L29" s="17"/>
    </row>
    <row r="30" spans="2:14" ht="51" x14ac:dyDescent="0.25">
      <c r="B30" s="29" t="s">
        <v>192</v>
      </c>
      <c r="C30" s="32" t="s">
        <v>229</v>
      </c>
      <c r="D30" s="22" t="s">
        <v>201</v>
      </c>
      <c r="E30" s="99">
        <v>1.18</v>
      </c>
      <c r="F30" s="23">
        <f t="shared" si="1"/>
        <v>7184.7806255585356</v>
      </c>
      <c r="G30" s="24">
        <f t="shared" si="2"/>
        <v>7256.6284318141215</v>
      </c>
      <c r="H30" s="25">
        <f t="shared" si="0"/>
        <v>-71.847806255585965</v>
      </c>
      <c r="I30" s="26"/>
      <c r="J30" s="26"/>
    </row>
    <row r="31" spans="2:14" ht="219" customHeight="1" x14ac:dyDescent="0.25">
      <c r="B31" s="29" t="s">
        <v>217</v>
      </c>
      <c r="C31" s="32" t="s">
        <v>204</v>
      </c>
      <c r="D31" s="22" t="s">
        <v>201</v>
      </c>
      <c r="E31" s="99">
        <v>5.61</v>
      </c>
      <c r="F31" s="23">
        <f t="shared" si="1"/>
        <v>34158.151957104565</v>
      </c>
      <c r="G31" s="24">
        <f t="shared" si="2"/>
        <v>34499.733476675618</v>
      </c>
      <c r="H31" s="25">
        <f t="shared" si="0"/>
        <v>-341.58151957105292</v>
      </c>
      <c r="I31" s="26"/>
      <c r="J31" s="26"/>
      <c r="K31" s="4"/>
      <c r="L31" s="3"/>
      <c r="M31" s="316"/>
      <c r="N31" s="316"/>
    </row>
    <row r="32" spans="2:14" ht="102" x14ac:dyDescent="0.25">
      <c r="B32" s="29" t="s">
        <v>205</v>
      </c>
      <c r="C32" s="8" t="s">
        <v>223</v>
      </c>
      <c r="D32" s="22" t="s">
        <v>201</v>
      </c>
      <c r="E32" s="99">
        <v>0.19</v>
      </c>
      <c r="F32" s="23">
        <f t="shared" ref="F32:F34" si="3">$M$24/$M$25*E32</f>
        <v>1156.8714566577303</v>
      </c>
      <c r="G32" s="24">
        <f t="shared" ref="G32" si="4">$N$24/$N$25*E32</f>
        <v>1168.4401712243077</v>
      </c>
      <c r="H32" s="25">
        <f t="shared" si="0"/>
        <v>-11.568714566577455</v>
      </c>
      <c r="I32" s="26"/>
      <c r="J32" s="26"/>
    </row>
    <row r="33" spans="2:14" ht="56.25" customHeight="1" x14ac:dyDescent="0.25">
      <c r="B33" s="30" t="s">
        <v>206</v>
      </c>
      <c r="C33" s="8" t="s">
        <v>223</v>
      </c>
      <c r="D33" s="22" t="s">
        <v>201</v>
      </c>
      <c r="E33" s="99">
        <v>4.8</v>
      </c>
      <c r="F33" s="23">
        <v>31476.560000000001</v>
      </c>
      <c r="G33" s="6">
        <v>9034</v>
      </c>
      <c r="H33" s="25">
        <f>F33-G33</f>
        <v>22442.560000000001</v>
      </c>
      <c r="I33" s="26"/>
      <c r="J33" s="26"/>
      <c r="L33" s="17"/>
    </row>
    <row r="34" spans="2:14" ht="16.5" thickBot="1" x14ac:dyDescent="0.3">
      <c r="B34" s="51" t="s">
        <v>186</v>
      </c>
      <c r="C34" s="52" t="s">
        <v>204</v>
      </c>
      <c r="D34" s="53" t="s">
        <v>201</v>
      </c>
      <c r="E34" s="103">
        <f>0.84+0.3</f>
        <v>1.1399999999999999</v>
      </c>
      <c r="F34" s="23">
        <f t="shared" si="3"/>
        <v>6941.2287399463812</v>
      </c>
      <c r="G34" s="24">
        <f t="shared" ref="G34" si="5">$N$24/$N$25*E34</f>
        <v>7010.6410273458459</v>
      </c>
      <c r="H34" s="33">
        <f>F34-G34</f>
        <v>-69.412287399464731</v>
      </c>
      <c r="I34" s="26"/>
      <c r="J34" s="26"/>
    </row>
    <row r="35" spans="2:14" ht="16.5" thickBot="1" x14ac:dyDescent="0.3">
      <c r="B35" s="66" t="s">
        <v>190</v>
      </c>
      <c r="C35" s="55"/>
      <c r="D35" s="55"/>
      <c r="E35" s="101">
        <f>SUM(E25:E34)</f>
        <v>15.989999999999998</v>
      </c>
      <c r="F35" s="56">
        <f>SUM(F25:F34)</f>
        <v>99610.200000000012</v>
      </c>
      <c r="G35" s="57">
        <f>SUM(G25:G34)</f>
        <v>77848.976400000014</v>
      </c>
      <c r="H35" s="38">
        <f>SUM(H25:H34)</f>
        <v>21761.22359999999</v>
      </c>
      <c r="I35" s="39"/>
      <c r="J35" s="39"/>
    </row>
    <row r="36" spans="2:14" x14ac:dyDescent="0.25">
      <c r="B36" s="17"/>
      <c r="C36" s="17"/>
      <c r="D36" s="17"/>
      <c r="E36" s="86"/>
      <c r="F36" s="86"/>
      <c r="G36" s="86"/>
      <c r="I36" s="82"/>
      <c r="J36" s="82"/>
    </row>
    <row r="37" spans="2:14" ht="16.5" customHeight="1" thickBot="1" x14ac:dyDescent="0.3">
      <c r="B37" s="260" t="s">
        <v>326</v>
      </c>
      <c r="C37" s="260"/>
      <c r="D37" s="260"/>
      <c r="E37" s="260"/>
      <c r="F37" s="260"/>
      <c r="G37" s="260"/>
      <c r="H37" s="260"/>
      <c r="I37" s="40"/>
      <c r="J37" s="40"/>
    </row>
    <row r="38" spans="2:14" ht="44.25" customHeight="1" thickBot="1" x14ac:dyDescent="0.3">
      <c r="B38" s="92" t="s">
        <v>327</v>
      </c>
      <c r="C38" s="266" t="s">
        <v>207</v>
      </c>
      <c r="D38" s="267"/>
      <c r="E38" s="257" t="s">
        <v>8</v>
      </c>
      <c r="F38" s="258"/>
      <c r="G38" s="257" t="s">
        <v>9</v>
      </c>
      <c r="H38" s="259"/>
      <c r="I38" s="41"/>
      <c r="J38" s="41"/>
      <c r="K38" s="42"/>
      <c r="L38" s="43"/>
      <c r="M38" s="317"/>
      <c r="N38" s="317"/>
    </row>
    <row r="39" spans="2:14" x14ac:dyDescent="0.25">
      <c r="B39" s="93" t="s">
        <v>15</v>
      </c>
      <c r="C39" s="222">
        <f>E39+G39</f>
        <v>667186.38000000012</v>
      </c>
      <c r="D39" s="223"/>
      <c r="E39" s="224">
        <f>F25+F26+F27+F29+F30+F31+F32+F34+E16</f>
        <v>471995.85000000009</v>
      </c>
      <c r="F39" s="225"/>
      <c r="G39" s="224">
        <f>F33+G16</f>
        <v>195190.53</v>
      </c>
      <c r="H39" s="226"/>
      <c r="I39" s="212"/>
      <c r="J39" s="212"/>
      <c r="K39" s="9"/>
      <c r="L39" s="9"/>
      <c r="M39" s="318"/>
    </row>
    <row r="40" spans="2:14" x14ac:dyDescent="0.25">
      <c r="B40" s="94" t="s">
        <v>16</v>
      </c>
      <c r="C40" s="220">
        <f>E40+G40</f>
        <v>661187.45000000007</v>
      </c>
      <c r="D40" s="221"/>
      <c r="E40" s="220">
        <f>E17+67855.71</f>
        <v>467916.14000000007</v>
      </c>
      <c r="F40" s="221"/>
      <c r="G40" s="220">
        <f>G17+31348.16</f>
        <v>193271.31</v>
      </c>
      <c r="H40" s="251"/>
      <c r="I40" s="212"/>
      <c r="J40" s="212"/>
      <c r="K40" s="12"/>
      <c r="L40" s="9"/>
      <c r="M40" s="318"/>
    </row>
    <row r="41" spans="2:14" x14ac:dyDescent="0.25">
      <c r="B41" s="95" t="s">
        <v>189</v>
      </c>
      <c r="C41" s="220">
        <f>E41+G41</f>
        <v>717183.44760000007</v>
      </c>
      <c r="D41" s="221"/>
      <c r="E41" s="246">
        <f>G25+G26+G27+G29+G30+G31+G32+G34+E18+G28</f>
        <v>480164.44760000007</v>
      </c>
      <c r="F41" s="247"/>
      <c r="G41" s="246">
        <f>G33+G18</f>
        <v>237019</v>
      </c>
      <c r="H41" s="252"/>
      <c r="I41" s="212"/>
      <c r="J41" s="212"/>
      <c r="K41" s="44"/>
      <c r="L41" s="44"/>
    </row>
    <row r="42" spans="2:14" ht="16.5" thickBot="1" x14ac:dyDescent="0.3">
      <c r="B42" s="96" t="s">
        <v>226</v>
      </c>
      <c r="C42" s="227">
        <f>E42+G42</f>
        <v>14400</v>
      </c>
      <c r="D42" s="228"/>
      <c r="E42" s="227">
        <f>E19+3600</f>
        <v>14400</v>
      </c>
      <c r="F42" s="228"/>
      <c r="G42" s="227">
        <f>G19</f>
        <v>0</v>
      </c>
      <c r="H42" s="250"/>
      <c r="I42" s="212"/>
      <c r="J42" s="212"/>
      <c r="K42" s="44"/>
      <c r="L42" s="44"/>
    </row>
    <row r="43" spans="2:14" ht="29.25" customHeight="1" thickBot="1" x14ac:dyDescent="0.3">
      <c r="B43" s="97" t="s">
        <v>298</v>
      </c>
      <c r="C43" s="216">
        <f>E43+G43</f>
        <v>-41595.997600000002</v>
      </c>
      <c r="D43" s="217"/>
      <c r="E43" s="248">
        <f>E40+E42-E41</f>
        <v>2151.6923999999999</v>
      </c>
      <c r="F43" s="254"/>
      <c r="G43" s="248">
        <f>G40-G41</f>
        <v>-43747.69</v>
      </c>
      <c r="H43" s="249"/>
      <c r="I43" s="212"/>
      <c r="J43" s="212"/>
      <c r="K43" s="44"/>
      <c r="L43" s="44"/>
    </row>
    <row r="44" spans="2:14" ht="34.5" customHeight="1" x14ac:dyDescent="0.25">
      <c r="B44" s="205" t="s">
        <v>180</v>
      </c>
      <c r="C44" s="232" t="s">
        <v>308</v>
      </c>
      <c r="D44" s="232"/>
      <c r="E44" s="232"/>
      <c r="F44" s="230" t="s">
        <v>10</v>
      </c>
      <c r="G44" s="230"/>
      <c r="H44" s="205"/>
      <c r="I44" s="205"/>
      <c r="J44" s="205"/>
      <c r="K44" s="4"/>
      <c r="L44" s="4"/>
      <c r="M44" s="316"/>
      <c r="N44" s="316"/>
    </row>
    <row r="45" spans="2:14" ht="11.25" customHeight="1" x14ac:dyDescent="0.25">
      <c r="B45" s="205"/>
      <c r="C45" s="205"/>
      <c r="D45" s="205"/>
      <c r="E45" s="209"/>
      <c r="F45" s="231"/>
      <c r="G45" s="231"/>
      <c r="H45" s="210"/>
      <c r="I45" s="210"/>
      <c r="J45" s="210"/>
      <c r="K45" s="4"/>
      <c r="L45" s="4"/>
      <c r="M45" s="316"/>
      <c r="N45" s="316"/>
    </row>
    <row r="46" spans="2:14" x14ac:dyDescent="0.25">
      <c r="B46" s="205" t="s">
        <v>181</v>
      </c>
      <c r="C46" s="232" t="s">
        <v>308</v>
      </c>
      <c r="D46" s="232"/>
      <c r="E46" s="232"/>
      <c r="F46" s="230" t="s">
        <v>208</v>
      </c>
      <c r="G46" s="230"/>
      <c r="H46" s="205"/>
      <c r="I46" s="205"/>
      <c r="J46" s="205"/>
      <c r="K46" s="4"/>
      <c r="L46" s="4"/>
      <c r="M46" s="316"/>
      <c r="N46" s="316"/>
    </row>
    <row r="47" spans="2:14" ht="9.75" customHeight="1" x14ac:dyDescent="0.25">
      <c r="B47" s="205"/>
      <c r="C47" s="205"/>
      <c r="D47" s="205"/>
      <c r="E47" s="209"/>
      <c r="F47" s="230"/>
      <c r="G47" s="230"/>
      <c r="H47" s="205"/>
      <c r="I47" s="205"/>
      <c r="J47" s="205"/>
    </row>
    <row r="48" spans="2:14" x14ac:dyDescent="0.25">
      <c r="B48" s="205" t="s">
        <v>182</v>
      </c>
      <c r="C48" s="232" t="s">
        <v>308</v>
      </c>
      <c r="D48" s="232"/>
      <c r="E48" s="232"/>
      <c r="F48" s="230" t="s">
        <v>209</v>
      </c>
      <c r="G48" s="230"/>
      <c r="H48" s="205"/>
      <c r="I48" s="205"/>
      <c r="J48" s="205"/>
    </row>
    <row r="49" spans="2:10" ht="8.25" customHeight="1" x14ac:dyDescent="0.25">
      <c r="B49" s="45"/>
      <c r="C49" s="45"/>
      <c r="D49" s="45"/>
      <c r="E49" s="209"/>
      <c r="F49" s="46"/>
      <c r="G49" s="47"/>
      <c r="H49" s="48"/>
      <c r="I49" s="48"/>
      <c r="J49" s="48"/>
    </row>
    <row r="50" spans="2:10" x14ac:dyDescent="0.25">
      <c r="B50" s="205" t="s">
        <v>183</v>
      </c>
      <c r="C50" s="232" t="s">
        <v>308</v>
      </c>
      <c r="D50" s="232"/>
      <c r="E50" s="232"/>
      <c r="F50" s="230" t="s">
        <v>209</v>
      </c>
      <c r="G50" s="230"/>
      <c r="H50" s="5"/>
    </row>
    <row r="51" spans="2:10" ht="9.75" customHeight="1" x14ac:dyDescent="0.25">
      <c r="C51" s="86"/>
      <c r="E51" s="209"/>
    </row>
    <row r="52" spans="2:10" x14ac:dyDescent="0.25">
      <c r="C52" s="86"/>
    </row>
    <row r="53" spans="2:10" x14ac:dyDescent="0.25">
      <c r="C53" s="86"/>
    </row>
  </sheetData>
  <mergeCells count="60">
    <mergeCell ref="C44:E44"/>
    <mergeCell ref="C46:E46"/>
    <mergeCell ref="C48:E48"/>
    <mergeCell ref="C50:E50"/>
    <mergeCell ref="C43:D43"/>
    <mergeCell ref="M22:M23"/>
    <mergeCell ref="N22:N23"/>
    <mergeCell ref="C38:D38"/>
    <mergeCell ref="C39:D39"/>
    <mergeCell ref="C40:D40"/>
    <mergeCell ref="C41:D41"/>
    <mergeCell ref="C42:D42"/>
    <mergeCell ref="C15:D15"/>
    <mergeCell ref="C16:D16"/>
    <mergeCell ref="C17:D17"/>
    <mergeCell ref="C18:D18"/>
    <mergeCell ref="C19:D19"/>
    <mergeCell ref="C20:D20"/>
    <mergeCell ref="E16:F16"/>
    <mergeCell ref="G16:H16"/>
    <mergeCell ref="E17:F17"/>
    <mergeCell ref="G17:H17"/>
    <mergeCell ref="E20:F20"/>
    <mergeCell ref="G20:H20"/>
    <mergeCell ref="E18:F18"/>
    <mergeCell ref="G18:H18"/>
    <mergeCell ref="E19:F19"/>
    <mergeCell ref="G19:H19"/>
    <mergeCell ref="F48:G48"/>
    <mergeCell ref="F50:G50"/>
    <mergeCell ref="B37:H37"/>
    <mergeCell ref="E38:F38"/>
    <mergeCell ref="G38:H38"/>
    <mergeCell ref="E39:F39"/>
    <mergeCell ref="G39:H39"/>
    <mergeCell ref="E40:F40"/>
    <mergeCell ref="G40:H40"/>
    <mergeCell ref="F44:G44"/>
    <mergeCell ref="E41:F41"/>
    <mergeCell ref="G41:H41"/>
    <mergeCell ref="E43:F43"/>
    <mergeCell ref="G43:H43"/>
    <mergeCell ref="E42:F42"/>
    <mergeCell ref="G42:H42"/>
    <mergeCell ref="F45:G45"/>
    <mergeCell ref="F46:G46"/>
    <mergeCell ref="F47:G47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</mergeCells>
  <pageMargins left="0.2" right="0.19685039370078741" top="0.16" bottom="0.23622047244094491" header="0.37" footer="0.25"/>
  <pageSetup paperSize="9"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51"/>
  <sheetViews>
    <sheetView topLeftCell="A6" zoomScale="110" zoomScaleNormal="110" workbookViewId="0">
      <selection activeCell="M6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42578125" style="5" customWidth="1"/>
    <col min="3" max="3" width="20.85546875" style="13" customWidth="1"/>
    <col min="4" max="4" width="10" style="82" customWidth="1"/>
    <col min="5" max="5" width="9.7109375" style="82" customWidth="1"/>
    <col min="6" max="6" width="10.42578125" style="82" customWidth="1"/>
    <col min="7" max="7" width="10.28515625" style="5" customWidth="1"/>
    <col min="8" max="8" width="10.85546875" style="82" customWidth="1"/>
    <col min="9" max="9" width="13.7109375" style="5" customWidth="1"/>
    <col min="10" max="10" width="12.5703125" style="5" customWidth="1"/>
    <col min="11" max="11" width="14.7109375" style="5" customWidth="1"/>
    <col min="12" max="12" width="11.140625" style="5" customWidth="1"/>
    <col min="13" max="13" width="16.5703125" style="310" customWidth="1"/>
    <col min="14" max="14" width="17.42578125" style="310" customWidth="1"/>
    <col min="15" max="16384" width="9.140625" style="5"/>
  </cols>
  <sheetData>
    <row r="1" spans="2:9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9" ht="23.25" customHeight="1" x14ac:dyDescent="0.35">
      <c r="B3" s="265"/>
      <c r="C3" s="265"/>
      <c r="D3" s="265"/>
      <c r="E3" s="265"/>
      <c r="F3" s="265"/>
      <c r="G3" s="265"/>
      <c r="H3" s="265"/>
      <c r="I3" s="59"/>
    </row>
    <row r="4" spans="2:9" ht="6.75" customHeight="1" x14ac:dyDescent="0.25"/>
    <row r="5" spans="2:9" x14ac:dyDescent="0.25">
      <c r="B5" s="10" t="s">
        <v>0</v>
      </c>
      <c r="C5" s="121"/>
      <c r="D5" s="234" t="s">
        <v>37</v>
      </c>
      <c r="E5" s="234"/>
    </row>
    <row r="6" spans="2:9" x14ac:dyDescent="0.25">
      <c r="B6" s="10" t="s">
        <v>1</v>
      </c>
      <c r="C6" s="121"/>
      <c r="D6" s="207">
        <v>1958</v>
      </c>
      <c r="E6" s="207"/>
    </row>
    <row r="7" spans="2:9" hidden="1" outlineLevel="1" x14ac:dyDescent="0.25">
      <c r="B7" s="10" t="s">
        <v>2</v>
      </c>
      <c r="C7" s="121"/>
      <c r="D7" s="207">
        <v>2</v>
      </c>
      <c r="E7" s="207"/>
    </row>
    <row r="8" spans="2:9" hidden="1" outlineLevel="1" x14ac:dyDescent="0.25">
      <c r="B8" s="10" t="s">
        <v>3</v>
      </c>
      <c r="C8" s="121"/>
      <c r="D8" s="207">
        <v>16</v>
      </c>
      <c r="E8" s="207"/>
    </row>
    <row r="9" spans="2:9" ht="26.25" hidden="1" outlineLevel="1" x14ac:dyDescent="0.25">
      <c r="B9" s="122" t="s">
        <v>4</v>
      </c>
      <c r="C9" s="123"/>
      <c r="D9" s="207" t="s">
        <v>38</v>
      </c>
      <c r="E9" s="207"/>
    </row>
    <row r="10" spans="2:9" collapsed="1" x14ac:dyDescent="0.25">
      <c r="B10" s="10" t="s">
        <v>5</v>
      </c>
      <c r="C10" s="121"/>
      <c r="D10" s="207" t="s">
        <v>236</v>
      </c>
      <c r="E10" s="207"/>
      <c r="I10" s="17"/>
    </row>
    <row r="11" spans="2:9" hidden="1" outlineLevel="1" x14ac:dyDescent="0.25">
      <c r="B11" s="5" t="s">
        <v>6</v>
      </c>
      <c r="D11" s="208" t="s">
        <v>13</v>
      </c>
      <c r="E11" s="208"/>
    </row>
    <row r="12" spans="2:9" ht="31.5" hidden="1" customHeight="1" outlineLevel="1" x14ac:dyDescent="0.25">
      <c r="B12" s="14" t="s">
        <v>7</v>
      </c>
      <c r="C12" s="15"/>
      <c r="D12" s="91" t="s">
        <v>39</v>
      </c>
      <c r="E12" s="208"/>
      <c r="I12" s="17"/>
    </row>
    <row r="13" spans="2:9" ht="8.25" customHeight="1" collapsed="1" x14ac:dyDescent="0.25">
      <c r="B13" s="14"/>
      <c r="C13" s="15"/>
      <c r="D13" s="91"/>
      <c r="E13" s="208"/>
      <c r="I13" s="17"/>
    </row>
    <row r="14" spans="2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9" ht="41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9" x14ac:dyDescent="0.25">
      <c r="B16" s="93" t="s">
        <v>15</v>
      </c>
      <c r="C16" s="222">
        <v>561402.52</v>
      </c>
      <c r="D16" s="253"/>
      <c r="E16" s="224">
        <v>399123.08999999997</v>
      </c>
      <c r="F16" s="225"/>
      <c r="G16" s="224">
        <v>162279.43</v>
      </c>
      <c r="H16" s="226"/>
      <c r="I16" s="17"/>
    </row>
    <row r="17" spans="2:14" x14ac:dyDescent="0.25">
      <c r="B17" s="94" t="s">
        <v>16</v>
      </c>
      <c r="C17" s="220">
        <v>499247.54999999993</v>
      </c>
      <c r="D17" s="221"/>
      <c r="E17" s="220">
        <v>355426.92999999993</v>
      </c>
      <c r="F17" s="221"/>
      <c r="G17" s="220">
        <v>143820.62</v>
      </c>
      <c r="H17" s="251"/>
      <c r="I17" s="17"/>
    </row>
    <row r="18" spans="2:14" x14ac:dyDescent="0.25">
      <c r="B18" s="95" t="s">
        <v>189</v>
      </c>
      <c r="C18" s="220">
        <v>540319.83000000007</v>
      </c>
      <c r="D18" s="221"/>
      <c r="E18" s="246">
        <v>393532.83</v>
      </c>
      <c r="F18" s="247"/>
      <c r="G18" s="246">
        <v>146787</v>
      </c>
      <c r="H18" s="252"/>
      <c r="I18" s="17"/>
    </row>
    <row r="19" spans="2:14" ht="16.5" thickBot="1" x14ac:dyDescent="0.3">
      <c r="B19" s="96" t="s">
        <v>226</v>
      </c>
      <c r="C19" s="220">
        <v>7200</v>
      </c>
      <c r="D19" s="221"/>
      <c r="E19" s="227">
        <v>7200</v>
      </c>
      <c r="F19" s="228"/>
      <c r="G19" s="227">
        <v>0</v>
      </c>
      <c r="H19" s="250"/>
      <c r="I19" s="17"/>
    </row>
    <row r="20" spans="2:14" ht="30.75" customHeight="1" thickBot="1" x14ac:dyDescent="0.3">
      <c r="B20" s="97" t="s">
        <v>297</v>
      </c>
      <c r="C20" s="216">
        <f>E20+G20</f>
        <v>-33872.280000000086</v>
      </c>
      <c r="D20" s="217"/>
      <c r="E20" s="248">
        <f>E17+E19-E18</f>
        <v>-30905.900000000081</v>
      </c>
      <c r="F20" s="254"/>
      <c r="G20" s="248">
        <f>G17-G18</f>
        <v>-2966.3800000000047</v>
      </c>
      <c r="H20" s="249"/>
      <c r="I20" s="17"/>
    </row>
    <row r="21" spans="2:14" ht="13.5" customHeight="1" x14ac:dyDescent="0.25">
      <c r="B21" s="14"/>
      <c r="C21" s="64"/>
      <c r="D21" s="91"/>
      <c r="E21" s="208"/>
      <c r="I21" s="17"/>
    </row>
    <row r="22" spans="2:14" ht="19.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I22" s="16"/>
      <c r="J22" s="16"/>
      <c r="L22" s="17"/>
      <c r="M22" s="312" t="s">
        <v>301</v>
      </c>
      <c r="N22" s="312" t="s">
        <v>302</v>
      </c>
    </row>
    <row r="23" spans="2:14" ht="35.25" customHeight="1" x14ac:dyDescent="0.25">
      <c r="B23" s="235" t="s">
        <v>196</v>
      </c>
      <c r="C23" s="237" t="s">
        <v>197</v>
      </c>
      <c r="D23" s="237" t="s">
        <v>198</v>
      </c>
      <c r="E23" s="239" t="s">
        <v>312</v>
      </c>
      <c r="F23" s="241" t="s">
        <v>199</v>
      </c>
      <c r="G23" s="242"/>
      <c r="H23" s="243" t="s">
        <v>227</v>
      </c>
      <c r="I23" s="18"/>
      <c r="J23" s="18"/>
      <c r="L23" s="17"/>
      <c r="M23" s="313"/>
      <c r="N23" s="313"/>
    </row>
    <row r="24" spans="2:14" ht="45" customHeight="1" thickBot="1" x14ac:dyDescent="0.3">
      <c r="B24" s="236"/>
      <c r="C24" s="238"/>
      <c r="D24" s="238"/>
      <c r="E24" s="240"/>
      <c r="F24" s="19" t="s">
        <v>187</v>
      </c>
      <c r="G24" s="20" t="s">
        <v>188</v>
      </c>
      <c r="H24" s="244"/>
      <c r="I24" s="18"/>
      <c r="J24" s="18"/>
      <c r="M24" s="314">
        <v>67374.070000000007</v>
      </c>
      <c r="N24" s="314">
        <f>M24*1.01</f>
        <v>68047.810700000002</v>
      </c>
    </row>
    <row r="25" spans="2:14" ht="62.25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6381.6025556250579</v>
      </c>
      <c r="G25" s="24">
        <f>$N$24/$N$25*E25</f>
        <v>6445.4185811813077</v>
      </c>
      <c r="H25" s="25">
        <f>F25-G25</f>
        <v>-63.81602555624977</v>
      </c>
      <c r="I25" s="26"/>
      <c r="J25" s="26"/>
      <c r="K25" s="27"/>
      <c r="L25" s="28"/>
      <c r="M25" s="315">
        <f>E34-E32</f>
        <v>11.190999999999999</v>
      </c>
      <c r="N25" s="315">
        <f>E34-E32</f>
        <v>11.190999999999999</v>
      </c>
    </row>
    <row r="26" spans="2:14" ht="61.5" customHeight="1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7164.2519256545456</v>
      </c>
      <c r="G26" s="24">
        <f>$N$24/$N$25*E26</f>
        <v>7235.8944449110895</v>
      </c>
      <c r="H26" s="25">
        <f t="shared" ref="H26:H31" si="0">F26-G26</f>
        <v>-71.642519256543892</v>
      </c>
      <c r="I26" s="26"/>
      <c r="J26" s="26"/>
      <c r="K26" s="4"/>
      <c r="L26" s="4"/>
      <c r="M26" s="316"/>
      <c r="N26" s="316"/>
    </row>
    <row r="27" spans="2:14" ht="62.25" customHeight="1" x14ac:dyDescent="0.25">
      <c r="B27" s="30" t="s">
        <v>184</v>
      </c>
      <c r="C27" s="8" t="s">
        <v>223</v>
      </c>
      <c r="D27" s="22" t="s">
        <v>201</v>
      </c>
      <c r="E27" s="99">
        <v>0.32100000000000001</v>
      </c>
      <c r="F27" s="23">
        <f t="shared" ref="F27:F33" si="1">$M$24/$M$25*E27</f>
        <v>1932.5419059958901</v>
      </c>
      <c r="G27" s="24">
        <f t="shared" ref="G27:G30" si="2">$N$24/$N$25*E27</f>
        <v>1951.8673250558486</v>
      </c>
      <c r="H27" s="25">
        <f t="shared" si="0"/>
        <v>-19.325419059958449</v>
      </c>
      <c r="I27" s="26"/>
      <c r="J27" s="26"/>
      <c r="L27" s="17"/>
    </row>
    <row r="28" spans="2:14" ht="29.25" customHeight="1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 t="shared" si="1"/>
        <v>3010.1898847288007</v>
      </c>
      <c r="G28" s="24">
        <f t="shared" si="2"/>
        <v>3040.2917835760882</v>
      </c>
      <c r="H28" s="25">
        <f t="shared" si="0"/>
        <v>-30.10189884728743</v>
      </c>
      <c r="I28" s="26"/>
      <c r="J28" s="26"/>
      <c r="L28" s="17"/>
    </row>
    <row r="29" spans="2:14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7104.048127959969</v>
      </c>
      <c r="G29" s="24">
        <f t="shared" si="2"/>
        <v>7175.0886092395676</v>
      </c>
      <c r="H29" s="25">
        <f t="shared" si="0"/>
        <v>-71.04048127959868</v>
      </c>
      <c r="I29" s="26"/>
      <c r="J29" s="26"/>
    </row>
    <row r="30" spans="2:14" ht="219" customHeight="1" x14ac:dyDescent="0.25">
      <c r="B30" s="29" t="s">
        <v>217</v>
      </c>
      <c r="C30" s="32" t="s">
        <v>204</v>
      </c>
      <c r="D30" s="22" t="s">
        <v>201</v>
      </c>
      <c r="E30" s="99">
        <v>5.61</v>
      </c>
      <c r="F30" s="23">
        <f t="shared" si="1"/>
        <v>33774.330506657148</v>
      </c>
      <c r="G30" s="24">
        <f t="shared" si="2"/>
        <v>34112.073811723712</v>
      </c>
      <c r="H30" s="25">
        <f t="shared" si="0"/>
        <v>-337.74330506656406</v>
      </c>
      <c r="I30" s="26"/>
      <c r="J30" s="26"/>
      <c r="K30" s="4"/>
      <c r="L30" s="3"/>
      <c r="M30" s="316"/>
      <c r="N30" s="316"/>
    </row>
    <row r="31" spans="2:14" ht="108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1143.8721561969444</v>
      </c>
      <c r="G31" s="24">
        <f t="shared" ref="G31" si="3">$N$24/$N$25*E31</f>
        <v>1155.3108777589134</v>
      </c>
      <c r="H31" s="25">
        <f t="shared" si="0"/>
        <v>-11.438721561969032</v>
      </c>
      <c r="I31" s="26"/>
      <c r="J31" s="26"/>
    </row>
    <row r="32" spans="2:14" ht="56.25" customHeight="1" x14ac:dyDescent="0.25">
      <c r="B32" s="30" t="s">
        <v>206</v>
      </c>
      <c r="C32" s="8" t="s">
        <v>223</v>
      </c>
      <c r="D32" s="22" t="s">
        <v>201</v>
      </c>
      <c r="E32" s="99">
        <v>4.8</v>
      </c>
      <c r="F32" s="23">
        <v>31125.65</v>
      </c>
      <c r="G32" s="6">
        <v>0</v>
      </c>
      <c r="H32" s="25">
        <f>F32-G32</f>
        <v>31125.65</v>
      </c>
      <c r="I32" s="26"/>
      <c r="J32" s="26"/>
      <c r="L32" s="17"/>
    </row>
    <row r="33" spans="2:14" ht="16.5" thickBot="1" x14ac:dyDescent="0.3">
      <c r="B33" s="51" t="s">
        <v>186</v>
      </c>
      <c r="C33" s="52" t="s">
        <v>204</v>
      </c>
      <c r="D33" s="53" t="s">
        <v>201</v>
      </c>
      <c r="E33" s="103">
        <f>0.84+0.3</f>
        <v>1.1399999999999999</v>
      </c>
      <c r="F33" s="23">
        <f t="shared" si="1"/>
        <v>6863.232937181665</v>
      </c>
      <c r="G33" s="24">
        <f t="shared" ref="G33" si="4">$N$24/$N$25*E33</f>
        <v>6931.8652665534801</v>
      </c>
      <c r="H33" s="33">
        <f>F33-G33</f>
        <v>-68.632329371815104</v>
      </c>
      <c r="I33" s="26"/>
      <c r="J33" s="26"/>
    </row>
    <row r="34" spans="2:14" ht="16.5" thickBot="1" x14ac:dyDescent="0.3">
      <c r="B34" s="66" t="s">
        <v>190</v>
      </c>
      <c r="C34" s="55"/>
      <c r="D34" s="55"/>
      <c r="E34" s="101">
        <f>SUM(E25:E33)</f>
        <v>15.991</v>
      </c>
      <c r="F34" s="56">
        <f>SUM(F25:F33)</f>
        <v>98499.720000000016</v>
      </c>
      <c r="G34" s="57">
        <f>SUM(G25:G33)</f>
        <v>68047.810700000016</v>
      </c>
      <c r="H34" s="38">
        <f>SUM(H25:H33)</f>
        <v>30451.909300000014</v>
      </c>
      <c r="I34" s="39"/>
      <c r="J34" s="39"/>
    </row>
    <row r="35" spans="2:14" x14ac:dyDescent="0.25">
      <c r="B35" s="17"/>
      <c r="C35" s="17"/>
      <c r="D35" s="17"/>
      <c r="E35" s="86"/>
      <c r="F35" s="86"/>
      <c r="G35" s="86"/>
      <c r="I35" s="82"/>
      <c r="J35" s="82"/>
    </row>
    <row r="36" spans="2:14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40"/>
      <c r="J36" s="40"/>
    </row>
    <row r="37" spans="2:14" ht="44.2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41"/>
      <c r="J37" s="41"/>
      <c r="K37" s="42"/>
      <c r="L37" s="43"/>
      <c r="M37" s="317"/>
      <c r="N37" s="317"/>
    </row>
    <row r="38" spans="2:14" x14ac:dyDescent="0.25">
      <c r="B38" s="93" t="s">
        <v>15</v>
      </c>
      <c r="C38" s="222">
        <f>E38+G38</f>
        <v>659902.24</v>
      </c>
      <c r="D38" s="223"/>
      <c r="E38" s="224">
        <f>F25+F26+F27+F28+F29+F30+F31+F33+E16</f>
        <v>466497.16</v>
      </c>
      <c r="F38" s="225"/>
      <c r="G38" s="224">
        <f>F32+G16</f>
        <v>193405.08</v>
      </c>
      <c r="H38" s="226"/>
      <c r="I38" s="212"/>
      <c r="J38" s="212"/>
      <c r="K38" s="9"/>
      <c r="L38" s="9"/>
      <c r="M38" s="318"/>
    </row>
    <row r="39" spans="2:14" x14ac:dyDescent="0.25">
      <c r="B39" s="94" t="s">
        <v>16</v>
      </c>
      <c r="C39" s="220">
        <f>E39+G39</f>
        <v>584491.93999999994</v>
      </c>
      <c r="D39" s="221"/>
      <c r="E39" s="220">
        <f>E17+58307.39</f>
        <v>413734.31999999995</v>
      </c>
      <c r="F39" s="221"/>
      <c r="G39" s="220">
        <f>G17+26937</f>
        <v>170757.62</v>
      </c>
      <c r="H39" s="251"/>
      <c r="I39" s="212"/>
      <c r="J39" s="212"/>
      <c r="K39" s="12"/>
      <c r="L39" s="9"/>
      <c r="M39" s="318"/>
    </row>
    <row r="40" spans="2:14" x14ac:dyDescent="0.25">
      <c r="B40" s="95" t="s">
        <v>189</v>
      </c>
      <c r="C40" s="220">
        <f>E40+G40</f>
        <v>608367.64070000011</v>
      </c>
      <c r="D40" s="221"/>
      <c r="E40" s="246">
        <f>G25+G26+G27+G28+G29+G30+G31+G33+E18</f>
        <v>461580.64070000005</v>
      </c>
      <c r="F40" s="247"/>
      <c r="G40" s="246">
        <f>G32+G18</f>
        <v>146787</v>
      </c>
      <c r="H40" s="252"/>
      <c r="I40" s="212"/>
      <c r="J40" s="212"/>
      <c r="K40" s="44"/>
      <c r="L40" s="44"/>
    </row>
    <row r="41" spans="2:14" ht="16.5" thickBot="1" x14ac:dyDescent="0.3">
      <c r="B41" s="96" t="s">
        <v>226</v>
      </c>
      <c r="C41" s="227">
        <f>E41+G41</f>
        <v>10800</v>
      </c>
      <c r="D41" s="228"/>
      <c r="E41" s="227">
        <f>E19+3600</f>
        <v>10800</v>
      </c>
      <c r="F41" s="228"/>
      <c r="G41" s="227">
        <f>G19</f>
        <v>0</v>
      </c>
      <c r="H41" s="250"/>
      <c r="I41" s="212"/>
      <c r="J41" s="212"/>
      <c r="K41" s="44"/>
      <c r="L41" s="44"/>
    </row>
    <row r="42" spans="2:14" ht="26.25" customHeight="1" thickBot="1" x14ac:dyDescent="0.3">
      <c r="B42" s="97" t="s">
        <v>298</v>
      </c>
      <c r="C42" s="216">
        <f>E42+G42</f>
        <v>-13075.700700000103</v>
      </c>
      <c r="D42" s="217"/>
      <c r="E42" s="248">
        <f>E39+E41-E40</f>
        <v>-37046.320700000098</v>
      </c>
      <c r="F42" s="254"/>
      <c r="G42" s="248">
        <f>G39-G40</f>
        <v>23970.619999999995</v>
      </c>
      <c r="H42" s="249"/>
      <c r="I42" s="212"/>
      <c r="J42" s="212"/>
      <c r="K42" s="44"/>
      <c r="L42" s="44"/>
    </row>
    <row r="43" spans="2:14" ht="34.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205"/>
      <c r="I43" s="205"/>
      <c r="J43" s="205"/>
      <c r="K43" s="4"/>
      <c r="L43" s="4"/>
      <c r="M43" s="316"/>
      <c r="N43" s="316"/>
    </row>
    <row r="44" spans="2:14" ht="11.25" customHeight="1" x14ac:dyDescent="0.25">
      <c r="B44" s="205"/>
      <c r="C44" s="205"/>
      <c r="D44" s="205"/>
      <c r="E44" s="209"/>
      <c r="F44" s="231"/>
      <c r="G44" s="231"/>
      <c r="H44" s="210"/>
      <c r="I44" s="210"/>
      <c r="J44" s="210"/>
      <c r="K44" s="4"/>
      <c r="L44" s="4"/>
      <c r="M44" s="316"/>
      <c r="N44" s="316"/>
    </row>
    <row r="45" spans="2:14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205"/>
      <c r="I45" s="205"/>
      <c r="J45" s="205"/>
      <c r="K45" s="4"/>
      <c r="L45" s="4"/>
      <c r="M45" s="316"/>
      <c r="N45" s="316"/>
    </row>
    <row r="46" spans="2:14" ht="9.75" customHeight="1" x14ac:dyDescent="0.25">
      <c r="B46" s="205"/>
      <c r="C46" s="205"/>
      <c r="D46" s="205"/>
      <c r="E46" s="209"/>
      <c r="F46" s="230"/>
      <c r="G46" s="230"/>
      <c r="H46" s="205"/>
      <c r="I46" s="205"/>
      <c r="J46" s="205"/>
    </row>
    <row r="47" spans="2:14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205"/>
      <c r="I47" s="205"/>
      <c r="J47" s="205"/>
    </row>
    <row r="48" spans="2:14" ht="8.25" customHeight="1" x14ac:dyDescent="0.25">
      <c r="B48" s="45"/>
      <c r="C48" s="45"/>
      <c r="D48" s="45"/>
      <c r="E48" s="209"/>
      <c r="F48" s="46"/>
      <c r="G48" s="47"/>
      <c r="H48" s="48"/>
      <c r="I48" s="48"/>
      <c r="J48" s="48"/>
    </row>
    <row r="49" spans="2:8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5"/>
    </row>
    <row r="50" spans="2:8" ht="11.25" customHeight="1" x14ac:dyDescent="0.25">
      <c r="C50" s="86"/>
      <c r="E50" s="209"/>
    </row>
    <row r="51" spans="2:8" x14ac:dyDescent="0.25">
      <c r="C51" s="86"/>
    </row>
  </sheetData>
  <mergeCells count="60">
    <mergeCell ref="N22:N23"/>
    <mergeCell ref="C37:D37"/>
    <mergeCell ref="C38:D38"/>
    <mergeCell ref="C15:D15"/>
    <mergeCell ref="C16:D16"/>
    <mergeCell ref="C17:D17"/>
    <mergeCell ref="C18:D18"/>
    <mergeCell ref="C19:D19"/>
    <mergeCell ref="E19:F19"/>
    <mergeCell ref="B36:H36"/>
    <mergeCell ref="E37:F37"/>
    <mergeCell ref="G37:H37"/>
    <mergeCell ref="M22:M23"/>
    <mergeCell ref="E16:F16"/>
    <mergeCell ref="G16:H16"/>
    <mergeCell ref="E17:F17"/>
    <mergeCell ref="F49:G49"/>
    <mergeCell ref="G38:H38"/>
    <mergeCell ref="E39:F39"/>
    <mergeCell ref="G39:H39"/>
    <mergeCell ref="E40:F40"/>
    <mergeCell ref="G40:H40"/>
    <mergeCell ref="E42:F42"/>
    <mergeCell ref="G42:H42"/>
    <mergeCell ref="F46:G46"/>
    <mergeCell ref="F47:G47"/>
    <mergeCell ref="E38:F38"/>
    <mergeCell ref="F45:G45"/>
    <mergeCell ref="F44:G44"/>
    <mergeCell ref="C45:E45"/>
    <mergeCell ref="C47:E47"/>
    <mergeCell ref="C49:E49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G19:H19"/>
    <mergeCell ref="E20:F20"/>
    <mergeCell ref="G20:H20"/>
    <mergeCell ref="G17:H17"/>
    <mergeCell ref="E18:F18"/>
    <mergeCell ref="G18:H18"/>
    <mergeCell ref="B14:H14"/>
    <mergeCell ref="E15:F15"/>
    <mergeCell ref="G15:H15"/>
    <mergeCell ref="F43:G43"/>
    <mergeCell ref="G41:H41"/>
    <mergeCell ref="E41:F41"/>
    <mergeCell ref="C39:D39"/>
    <mergeCell ref="C40:D40"/>
    <mergeCell ref="C41:D41"/>
    <mergeCell ref="C42:D42"/>
    <mergeCell ref="C20:D20"/>
    <mergeCell ref="C43:E43"/>
  </mergeCells>
  <pageMargins left="0.36" right="0.19685039370078741" top="0.42" bottom="0.23622047244094491" header="0.42" footer="0.25"/>
  <pageSetup paperSize="9" scale="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48"/>
  <sheetViews>
    <sheetView topLeftCell="A2" zoomScale="110" zoomScaleNormal="110" workbookViewId="0">
      <selection activeCell="M21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8.140625" style="5" customWidth="1"/>
    <col min="3" max="3" width="22.7109375" style="63" customWidth="1"/>
    <col min="4" max="4" width="10.140625" style="82" customWidth="1"/>
    <col min="5" max="5" width="10.42578125" style="82" customWidth="1"/>
    <col min="6" max="6" width="9.7109375" style="82" customWidth="1"/>
    <col min="7" max="7" width="10.28515625" style="5" customWidth="1"/>
    <col min="8" max="8" width="10.85546875" style="82" customWidth="1"/>
    <col min="9" max="9" width="10.140625" style="5" customWidth="1"/>
    <col min="10" max="10" width="9.140625" style="5"/>
    <col min="11" max="11" width="13.85546875" style="5" customWidth="1"/>
    <col min="12" max="12" width="9.140625" style="5"/>
    <col min="13" max="13" width="13.7109375" style="310" customWidth="1"/>
    <col min="14" max="14" width="14.42578125" style="310" customWidth="1"/>
    <col min="15" max="16384" width="9.140625" style="5"/>
  </cols>
  <sheetData>
    <row r="1" spans="2:9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9" ht="24" customHeight="1" x14ac:dyDescent="0.35">
      <c r="B3" s="265"/>
      <c r="C3" s="265"/>
      <c r="D3" s="265"/>
      <c r="E3" s="265"/>
      <c r="F3" s="265"/>
      <c r="G3" s="265"/>
      <c r="H3" s="265"/>
      <c r="I3" s="59"/>
    </row>
    <row r="5" spans="2:9" x14ac:dyDescent="0.25">
      <c r="B5" s="10" t="s">
        <v>0</v>
      </c>
      <c r="C5" s="127"/>
      <c r="D5" s="234" t="s">
        <v>40</v>
      </c>
      <c r="E5" s="234"/>
    </row>
    <row r="6" spans="2:9" x14ac:dyDescent="0.25">
      <c r="B6" s="10" t="s">
        <v>1</v>
      </c>
      <c r="C6" s="127"/>
      <c r="D6" s="207">
        <v>1987</v>
      </c>
      <c r="E6" s="207"/>
    </row>
    <row r="7" spans="2:9" hidden="1" outlineLevel="1" x14ac:dyDescent="0.25">
      <c r="B7" s="10" t="s">
        <v>2</v>
      </c>
      <c r="C7" s="127"/>
      <c r="D7" s="207">
        <v>3</v>
      </c>
      <c r="E7" s="207"/>
    </row>
    <row r="8" spans="2:9" hidden="1" outlineLevel="1" x14ac:dyDescent="0.25">
      <c r="B8" s="10" t="s">
        <v>3</v>
      </c>
      <c r="C8" s="127"/>
      <c r="D8" s="207">
        <v>18</v>
      </c>
      <c r="E8" s="207"/>
    </row>
    <row r="9" spans="2:9" ht="26.25" hidden="1" outlineLevel="1" x14ac:dyDescent="0.25">
      <c r="B9" s="122" t="s">
        <v>4</v>
      </c>
      <c r="C9" s="128"/>
      <c r="D9" s="207" t="s">
        <v>41</v>
      </c>
      <c r="E9" s="207"/>
    </row>
    <row r="10" spans="2:9" collapsed="1" x14ac:dyDescent="0.25">
      <c r="B10" s="10" t="s">
        <v>5</v>
      </c>
      <c r="C10" s="127"/>
      <c r="D10" s="207" t="s">
        <v>237</v>
      </c>
      <c r="E10" s="207"/>
      <c r="I10" s="17"/>
    </row>
    <row r="11" spans="2:9" hidden="1" outlineLevel="1" x14ac:dyDescent="0.25">
      <c r="B11" s="5" t="s">
        <v>6</v>
      </c>
      <c r="D11" s="208" t="s">
        <v>13</v>
      </c>
      <c r="E11" s="208"/>
    </row>
    <row r="12" spans="2:9" ht="31.5" hidden="1" customHeight="1" outlineLevel="1" x14ac:dyDescent="0.25">
      <c r="B12" s="14" t="s">
        <v>7</v>
      </c>
      <c r="C12" s="64"/>
      <c r="D12" s="91" t="s">
        <v>42</v>
      </c>
      <c r="E12" s="208"/>
      <c r="I12" s="17"/>
    </row>
    <row r="13" spans="2:9" collapsed="1" x14ac:dyDescent="0.25">
      <c r="B13" s="14"/>
      <c r="C13" s="64"/>
      <c r="D13" s="91"/>
      <c r="E13" s="208"/>
      <c r="I13" s="17"/>
    </row>
    <row r="14" spans="2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9" ht="45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9" x14ac:dyDescent="0.25">
      <c r="B16" s="93" t="s">
        <v>15</v>
      </c>
      <c r="C16" s="222">
        <v>812552.07000000007</v>
      </c>
      <c r="D16" s="253"/>
      <c r="E16" s="224">
        <v>766825.17</v>
      </c>
      <c r="F16" s="225"/>
      <c r="G16" s="224">
        <v>45726.9</v>
      </c>
      <c r="H16" s="226"/>
      <c r="I16" s="17"/>
    </row>
    <row r="17" spans="2:14" x14ac:dyDescent="0.25">
      <c r="B17" s="94" t="s">
        <v>16</v>
      </c>
      <c r="C17" s="220">
        <v>784314.83000000007</v>
      </c>
      <c r="D17" s="221"/>
      <c r="E17" s="220">
        <v>740577.03</v>
      </c>
      <c r="F17" s="221"/>
      <c r="G17" s="220">
        <v>43737.8</v>
      </c>
      <c r="H17" s="251"/>
      <c r="I17" s="17"/>
    </row>
    <row r="18" spans="2:14" ht="16.5" thickBot="1" x14ac:dyDescent="0.3">
      <c r="B18" s="95" t="s">
        <v>189</v>
      </c>
      <c r="C18" s="220">
        <v>794509.78120000008</v>
      </c>
      <c r="D18" s="221"/>
      <c r="E18" s="246">
        <v>771155.78120000008</v>
      </c>
      <c r="F18" s="247"/>
      <c r="G18" s="246">
        <v>23354</v>
      </c>
      <c r="H18" s="252"/>
      <c r="I18" s="17"/>
    </row>
    <row r="19" spans="2:14" ht="30" customHeight="1" thickBot="1" x14ac:dyDescent="0.3">
      <c r="B19" s="97" t="s">
        <v>297</v>
      </c>
      <c r="C19" s="216">
        <f>E19+G19</f>
        <v>-10194.951200000054</v>
      </c>
      <c r="D19" s="217"/>
      <c r="E19" s="248">
        <f>E17-E18</f>
        <v>-30578.751200000057</v>
      </c>
      <c r="F19" s="254"/>
      <c r="G19" s="248">
        <f>G17-G18</f>
        <v>20383.800000000003</v>
      </c>
      <c r="H19" s="249"/>
      <c r="I19" s="17"/>
    </row>
    <row r="20" spans="2:14" x14ac:dyDescent="0.25">
      <c r="B20" s="14"/>
      <c r="C20" s="64"/>
      <c r="D20" s="91"/>
      <c r="E20" s="208"/>
      <c r="I20" s="17"/>
    </row>
    <row r="21" spans="2:14" ht="16.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35.2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4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135997.96</v>
      </c>
      <c r="N23" s="314">
        <f>M23*1.01</f>
        <v>137357.93959999998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12384.693951890036</v>
      </c>
      <c r="G24" s="24">
        <f>$N$23/$N$24*E24</f>
        <v>12508.540891408935</v>
      </c>
      <c r="H24" s="25">
        <f>F24-G24</f>
        <v>-123.84693951889858</v>
      </c>
      <c r="I24" s="26"/>
      <c r="J24" s="26"/>
      <c r="K24" s="27"/>
      <c r="L24" s="28"/>
      <c r="M24" s="315">
        <f>E33-E31</f>
        <v>11.639999999999999</v>
      </c>
      <c r="N24" s="315">
        <f>E33-E31</f>
        <v>11.639999999999999</v>
      </c>
    </row>
    <row r="25" spans="2:14" ht="51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13903.571512027491</v>
      </c>
      <c r="G25" s="24">
        <f>$N$23/$N$24*E25</f>
        <v>14042.607227147766</v>
      </c>
      <c r="H25" s="25">
        <f t="shared" ref="H25:H30" si="0">F25-G25</f>
        <v>-139.0357151202752</v>
      </c>
      <c r="I25" s="26"/>
      <c r="J25" s="26"/>
      <c r="K25" s="4"/>
      <c r="L25" s="4"/>
      <c r="M25" s="316"/>
      <c r="N25" s="316"/>
    </row>
    <row r="26" spans="2:14" ht="55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3738.7755326460483</v>
      </c>
      <c r="G26" s="24">
        <f t="shared" ref="G26:G29" si="2">$N$23/$N$24*E26</f>
        <v>3776.1632879725089</v>
      </c>
      <c r="H26" s="25">
        <f t="shared" si="0"/>
        <v>-37.387755326460592</v>
      </c>
      <c r="I26" s="26"/>
      <c r="J26" s="26"/>
      <c r="L26" s="17"/>
    </row>
    <row r="27" spans="2:14" ht="29.25" customHeight="1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($M$23/12*6)/$M$24*E27</f>
        <v>2920.9183848797252</v>
      </c>
      <c r="G27" s="24">
        <f>($N$23/12*6)/$N$24*E27</f>
        <v>2950.1275687285224</v>
      </c>
      <c r="H27" s="25">
        <f t="shared" si="0"/>
        <v>-29.209183848797238</v>
      </c>
      <c r="I27" s="26"/>
      <c r="J27" s="26"/>
      <c r="L27" s="17"/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13786.734776632302</v>
      </c>
      <c r="G28" s="24">
        <f t="shared" si="2"/>
        <v>13924.602124398625</v>
      </c>
      <c r="H28" s="25">
        <f t="shared" si="0"/>
        <v>-137.86734776632329</v>
      </c>
      <c r="I28" s="26"/>
      <c r="J28" s="26"/>
    </row>
    <row r="29" spans="2:14" ht="214.5" customHeight="1" x14ac:dyDescent="0.25">
      <c r="B29" s="29" t="s">
        <v>218</v>
      </c>
      <c r="C29" s="32" t="s">
        <v>204</v>
      </c>
      <c r="D29" s="22" t="s">
        <v>201</v>
      </c>
      <c r="E29" s="99">
        <v>5.61</v>
      </c>
      <c r="F29" s="23">
        <f t="shared" si="1"/>
        <v>65545.408556701033</v>
      </c>
      <c r="G29" s="24">
        <f t="shared" si="2"/>
        <v>66200.862642268054</v>
      </c>
      <c r="H29" s="25">
        <f t="shared" si="0"/>
        <v>-655.45408556702023</v>
      </c>
      <c r="I29" s="26"/>
      <c r="J29" s="26"/>
      <c r="K29" s="4"/>
      <c r="L29" s="3"/>
      <c r="M29" s="316"/>
      <c r="N29" s="316"/>
    </row>
    <row r="30" spans="2:14" ht="112.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2219.897972508591</v>
      </c>
      <c r="G30" s="24">
        <f t="shared" ref="G30" si="3">$N$23/$N$24*E30</f>
        <v>2242.0969522336773</v>
      </c>
      <c r="H30" s="25">
        <f t="shared" si="0"/>
        <v>-22.198979725086247</v>
      </c>
      <c r="I30" s="26"/>
      <c r="J30" s="26"/>
    </row>
    <row r="31" spans="2:14" ht="56.25" customHeight="1" x14ac:dyDescent="0.25">
      <c r="B31" s="30" t="s">
        <v>206</v>
      </c>
      <c r="C31" s="8" t="s">
        <v>223</v>
      </c>
      <c r="D31" s="22" t="s">
        <v>201</v>
      </c>
      <c r="E31" s="99">
        <v>0</v>
      </c>
      <c r="F31" s="23">
        <v>0</v>
      </c>
      <c r="G31" s="6">
        <v>69</v>
      </c>
      <c r="H31" s="25">
        <f>F31-G31</f>
        <v>-69</v>
      </c>
      <c r="I31" s="26"/>
      <c r="J31" s="26"/>
      <c r="L31" s="17"/>
    </row>
    <row r="32" spans="2:14" ht="16.5" thickBot="1" x14ac:dyDescent="0.3">
      <c r="B32" s="67" t="s">
        <v>186</v>
      </c>
      <c r="C32" s="52" t="s">
        <v>204</v>
      </c>
      <c r="D32" s="53" t="s">
        <v>201</v>
      </c>
      <c r="E32" s="100">
        <f>0.9+0.69</f>
        <v>1.5899999999999999</v>
      </c>
      <c r="F32" s="23">
        <f t="shared" si="1"/>
        <v>18577.040927835049</v>
      </c>
      <c r="G32" s="24">
        <f t="shared" ref="G32" si="4">$N$23/$N$24*E32</f>
        <v>18762.811337113402</v>
      </c>
      <c r="H32" s="33">
        <f>F32-G32</f>
        <v>-185.77040927835333</v>
      </c>
      <c r="I32" s="26"/>
      <c r="J32" s="26"/>
    </row>
    <row r="33" spans="2:14" ht="16.5" thickBot="1" x14ac:dyDescent="0.3">
      <c r="B33" s="66" t="s">
        <v>190</v>
      </c>
      <c r="C33" s="55"/>
      <c r="D33" s="55"/>
      <c r="E33" s="101">
        <f>SUM(E24:E32)</f>
        <v>11.639999999999999</v>
      </c>
      <c r="F33" s="56">
        <f>SUM(F24:F32)</f>
        <v>133077.04161512028</v>
      </c>
      <c r="G33" s="57">
        <f>SUM(G24:G32)</f>
        <v>134476.81203127149</v>
      </c>
      <c r="H33" s="38">
        <f>SUM(H24:H32)</f>
        <v>-1399.7704161512147</v>
      </c>
      <c r="I33" s="39"/>
      <c r="J33" s="39"/>
    </row>
    <row r="34" spans="2:14" x14ac:dyDescent="0.25">
      <c r="B34" s="17"/>
      <c r="C34" s="17"/>
      <c r="D34" s="17"/>
      <c r="E34" s="86"/>
      <c r="F34" s="86"/>
      <c r="G34" s="86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x14ac:dyDescent="0.25">
      <c r="B37" s="93" t="s">
        <v>15</v>
      </c>
      <c r="C37" s="222">
        <f>E37+G37</f>
        <v>945629.11161512032</v>
      </c>
      <c r="D37" s="223"/>
      <c r="E37" s="224">
        <f>F24+F25+F26+F27+F28+F29+F30+F32+E16</f>
        <v>899902.21161512029</v>
      </c>
      <c r="F37" s="225"/>
      <c r="G37" s="224">
        <f>F31+G16</f>
        <v>45726.9</v>
      </c>
      <c r="H37" s="226"/>
      <c r="I37" s="212"/>
      <c r="J37" s="212"/>
      <c r="K37" s="9"/>
      <c r="L37" s="9"/>
      <c r="M37" s="318"/>
    </row>
    <row r="38" spans="2:14" x14ac:dyDescent="0.25">
      <c r="B38" s="94" t="s">
        <v>16</v>
      </c>
      <c r="C38" s="220">
        <f>E38+G38</f>
        <v>916895.6100000001</v>
      </c>
      <c r="D38" s="221"/>
      <c r="E38" s="220">
        <f>E17+132580.78</f>
        <v>873157.81</v>
      </c>
      <c r="F38" s="221"/>
      <c r="G38" s="220">
        <f>G17</f>
        <v>43737.8</v>
      </c>
      <c r="H38" s="251"/>
      <c r="I38" s="212"/>
      <c r="J38" s="212"/>
      <c r="K38" s="12"/>
      <c r="L38" s="9"/>
      <c r="M38" s="318"/>
    </row>
    <row r="39" spans="2:14" ht="18.75" customHeight="1" thickBot="1" x14ac:dyDescent="0.3">
      <c r="B39" s="95" t="s">
        <v>189</v>
      </c>
      <c r="C39" s="227">
        <f>E39+G39</f>
        <v>928986.5932312716</v>
      </c>
      <c r="D39" s="228"/>
      <c r="E39" s="246">
        <f>G24+G25+G26+G27+G28+G29+G30+G32+E18</f>
        <v>905563.5932312716</v>
      </c>
      <c r="F39" s="247"/>
      <c r="G39" s="246">
        <f>G31+G18</f>
        <v>23423</v>
      </c>
      <c r="H39" s="252"/>
      <c r="I39" s="212"/>
      <c r="J39" s="212"/>
      <c r="K39" s="44"/>
      <c r="L39" s="44"/>
    </row>
    <row r="40" spans="2:14" ht="25.5" thickBot="1" x14ac:dyDescent="0.3">
      <c r="B40" s="97" t="s">
        <v>298</v>
      </c>
      <c r="C40" s="216">
        <f>E40+G40</f>
        <v>-12090.983231271544</v>
      </c>
      <c r="D40" s="217"/>
      <c r="E40" s="248">
        <f>E38-E39</f>
        <v>-32405.783231271547</v>
      </c>
      <c r="F40" s="254"/>
      <c r="G40" s="248">
        <f>G38-G39</f>
        <v>20314.800000000003</v>
      </c>
      <c r="H40" s="249"/>
      <c r="I40" s="212"/>
      <c r="J40" s="212"/>
      <c r="K40" s="44"/>
      <c r="L40" s="44"/>
    </row>
    <row r="41" spans="2:14" ht="34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205"/>
      <c r="I41" s="205"/>
      <c r="J41" s="205"/>
      <c r="K41" s="4"/>
      <c r="L41" s="4"/>
      <c r="M41" s="316"/>
      <c r="N41" s="316"/>
    </row>
    <row r="42" spans="2:14" ht="11.25" customHeight="1" x14ac:dyDescent="0.25">
      <c r="B42" s="205"/>
      <c r="C42" s="205"/>
      <c r="D42" s="205"/>
      <c r="E42" s="209"/>
      <c r="F42" s="231"/>
      <c r="G42" s="231"/>
      <c r="H42" s="210"/>
      <c r="I42" s="210"/>
      <c r="J42" s="210"/>
      <c r="K42" s="4"/>
      <c r="L42" s="4"/>
      <c r="M42" s="316"/>
      <c r="N42" s="316"/>
    </row>
    <row r="43" spans="2:14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205"/>
      <c r="I43" s="205"/>
      <c r="J43" s="205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0"/>
      <c r="G44" s="230"/>
      <c r="H44" s="205"/>
      <c r="I44" s="205"/>
      <c r="J44" s="205"/>
    </row>
    <row r="45" spans="2:14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205"/>
      <c r="I45" s="205"/>
      <c r="J45" s="205"/>
    </row>
    <row r="46" spans="2:14" ht="8.25" customHeight="1" x14ac:dyDescent="0.25">
      <c r="B46" s="45"/>
      <c r="C46" s="45"/>
      <c r="D46" s="45"/>
      <c r="E46" s="209"/>
      <c r="F46" s="46"/>
      <c r="G46" s="47"/>
      <c r="H46" s="48"/>
      <c r="I46" s="48"/>
      <c r="J46" s="48"/>
    </row>
    <row r="47" spans="2:14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5"/>
    </row>
    <row r="48" spans="2:14" ht="9" customHeight="1" x14ac:dyDescent="0.25">
      <c r="C48" s="86"/>
      <c r="E48" s="209"/>
    </row>
  </sheetData>
  <mergeCells count="54">
    <mergeCell ref="C38:D38"/>
    <mergeCell ref="B35:H35"/>
    <mergeCell ref="E38:F38"/>
    <mergeCell ref="G38:H38"/>
    <mergeCell ref="E36:F36"/>
    <mergeCell ref="G36:H36"/>
    <mergeCell ref="C19:D19"/>
    <mergeCell ref="M21:M22"/>
    <mergeCell ref="N21:N22"/>
    <mergeCell ref="C36:D36"/>
    <mergeCell ref="C37:D37"/>
    <mergeCell ref="G17:H17"/>
    <mergeCell ref="C15:D15"/>
    <mergeCell ref="C16:D16"/>
    <mergeCell ref="C17:D17"/>
    <mergeCell ref="C18:D18"/>
    <mergeCell ref="E39:F39"/>
    <mergeCell ref="G39:H39"/>
    <mergeCell ref="E18:F18"/>
    <mergeCell ref="G18:H18"/>
    <mergeCell ref="E19:F19"/>
    <mergeCell ref="G19:H19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6:F16"/>
    <mergeCell ref="G16:H16"/>
    <mergeCell ref="E17:F17"/>
    <mergeCell ref="C47:E47"/>
    <mergeCell ref="F44:G44"/>
    <mergeCell ref="F45:G45"/>
    <mergeCell ref="E37:F37"/>
    <mergeCell ref="G37:H37"/>
    <mergeCell ref="C39:D39"/>
    <mergeCell ref="C40:D40"/>
    <mergeCell ref="F42:G42"/>
    <mergeCell ref="F43:G43"/>
    <mergeCell ref="E40:F40"/>
    <mergeCell ref="G40:H40"/>
    <mergeCell ref="F41:G41"/>
    <mergeCell ref="C41:E41"/>
    <mergeCell ref="C43:E43"/>
    <mergeCell ref="C45:E45"/>
    <mergeCell ref="F47:G47"/>
  </mergeCells>
  <printOptions horizontalCentered="1"/>
  <pageMargins left="0.22" right="0.19685039370078741" top="0.2" bottom="0.23622047244094491" header="0.19685039370078741" footer="0.23622047244094491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52"/>
  <sheetViews>
    <sheetView topLeftCell="A29" zoomScale="110" zoomScaleNormal="110" workbookViewId="0">
      <selection activeCell="M31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85546875" style="5" customWidth="1"/>
    <col min="3" max="3" width="21" style="86" customWidth="1"/>
    <col min="4" max="4" width="9.42578125" style="82" customWidth="1"/>
    <col min="5" max="5" width="10.7109375" style="82" customWidth="1"/>
    <col min="6" max="6" width="10.28515625" style="82" customWidth="1"/>
    <col min="7" max="7" width="10.28515625" style="5" customWidth="1"/>
    <col min="8" max="8" width="10.5703125" style="82" customWidth="1"/>
    <col min="9" max="9" width="11.42578125" style="5" customWidth="1"/>
    <col min="10" max="10" width="13.140625" style="5" customWidth="1"/>
    <col min="11" max="11" width="13.85546875" style="5" customWidth="1"/>
    <col min="12" max="12" width="9.140625" style="5"/>
    <col min="13" max="13" width="15.140625" style="310" customWidth="1"/>
    <col min="14" max="14" width="14.42578125" style="310" customWidth="1"/>
    <col min="15" max="16384" width="9.140625" style="5"/>
  </cols>
  <sheetData>
    <row r="1" spans="2:12" x14ac:dyDescent="0.25">
      <c r="B1" s="255" t="s">
        <v>211</v>
      </c>
      <c r="C1" s="255"/>
      <c r="D1" s="255"/>
      <c r="E1" s="255"/>
      <c r="F1" s="255"/>
      <c r="G1" s="255"/>
      <c r="H1" s="255"/>
    </row>
    <row r="2" spans="2:12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12" ht="26.25" customHeight="1" x14ac:dyDescent="0.35">
      <c r="B3" s="265"/>
      <c r="C3" s="265"/>
      <c r="D3" s="265"/>
      <c r="E3" s="265"/>
      <c r="F3" s="265"/>
      <c r="G3" s="265"/>
      <c r="H3" s="265"/>
      <c r="I3" s="59"/>
    </row>
    <row r="4" spans="2:12" ht="15" customHeight="1" x14ac:dyDescent="0.25"/>
    <row r="5" spans="2:12" x14ac:dyDescent="0.25">
      <c r="B5" s="9" t="s">
        <v>0</v>
      </c>
      <c r="C5" s="129"/>
      <c r="D5" s="130" t="s">
        <v>43</v>
      </c>
      <c r="E5" s="131"/>
    </row>
    <row r="6" spans="2:12" x14ac:dyDescent="0.25">
      <c r="B6" s="9" t="s">
        <v>1</v>
      </c>
      <c r="C6" s="129"/>
      <c r="D6" s="130">
        <v>1962</v>
      </c>
      <c r="E6" s="207"/>
    </row>
    <row r="7" spans="2:12" hidden="1" outlineLevel="1" x14ac:dyDescent="0.25">
      <c r="B7" s="9" t="s">
        <v>2</v>
      </c>
      <c r="C7" s="129"/>
      <c r="D7" s="130">
        <v>2</v>
      </c>
      <c r="E7" s="207"/>
    </row>
    <row r="8" spans="2:12" hidden="1" outlineLevel="1" x14ac:dyDescent="0.25">
      <c r="B8" s="9" t="s">
        <v>3</v>
      </c>
      <c r="C8" s="129"/>
      <c r="D8" s="130">
        <v>8</v>
      </c>
      <c r="E8" s="207"/>
    </row>
    <row r="9" spans="2:12" ht="26.25" hidden="1" outlineLevel="1" x14ac:dyDescent="0.25">
      <c r="B9" s="83" t="s">
        <v>4</v>
      </c>
      <c r="C9" s="132"/>
      <c r="D9" s="130" t="s">
        <v>44</v>
      </c>
      <c r="E9" s="207"/>
    </row>
    <row r="10" spans="2:12" collapsed="1" x14ac:dyDescent="0.25">
      <c r="B10" s="9" t="s">
        <v>5</v>
      </c>
      <c r="C10" s="129"/>
      <c r="D10" s="130" t="s">
        <v>238</v>
      </c>
      <c r="E10" s="207"/>
      <c r="I10" s="17"/>
    </row>
    <row r="11" spans="2:12" hidden="1" outlineLevel="1" x14ac:dyDescent="0.25">
      <c r="B11" s="44" t="s">
        <v>6</v>
      </c>
      <c r="C11" s="68"/>
      <c r="D11" s="90" t="s">
        <v>13</v>
      </c>
      <c r="E11" s="208"/>
    </row>
    <row r="12" spans="2:12" ht="31.5" hidden="1" customHeight="1" outlineLevel="1" x14ac:dyDescent="0.25">
      <c r="B12" s="69" t="s">
        <v>7</v>
      </c>
      <c r="C12" s="70"/>
      <c r="D12" s="89" t="s">
        <v>45</v>
      </c>
      <c r="E12" s="208"/>
      <c r="I12" s="17"/>
      <c r="L12" s="5" t="e">
        <f>#REF!+#REF!</f>
        <v>#REF!</v>
      </c>
    </row>
    <row r="13" spans="2:12" collapsed="1" x14ac:dyDescent="0.25">
      <c r="B13" s="69"/>
      <c r="C13" s="70"/>
      <c r="D13" s="89"/>
      <c r="E13" s="208"/>
      <c r="I13" s="17"/>
    </row>
    <row r="14" spans="2:12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12" ht="45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12" x14ac:dyDescent="0.25">
      <c r="B16" s="93" t="s">
        <v>15</v>
      </c>
      <c r="C16" s="222">
        <v>374688.64</v>
      </c>
      <c r="D16" s="253"/>
      <c r="E16" s="224">
        <v>256144.30000000005</v>
      </c>
      <c r="F16" s="225"/>
      <c r="G16" s="224">
        <v>118544.34</v>
      </c>
      <c r="H16" s="226"/>
      <c r="I16" s="17"/>
    </row>
    <row r="17" spans="2:14" x14ac:dyDescent="0.25">
      <c r="B17" s="94" t="s">
        <v>16</v>
      </c>
      <c r="C17" s="220">
        <v>376274.91</v>
      </c>
      <c r="D17" s="221"/>
      <c r="E17" s="220">
        <v>257175.13999999996</v>
      </c>
      <c r="F17" s="221"/>
      <c r="G17" s="220">
        <v>119099.77</v>
      </c>
      <c r="H17" s="251"/>
      <c r="I17" s="17"/>
    </row>
    <row r="18" spans="2:14" x14ac:dyDescent="0.25">
      <c r="B18" s="95" t="s">
        <v>189</v>
      </c>
      <c r="C18" s="220">
        <v>329277.87160000001</v>
      </c>
      <c r="D18" s="221"/>
      <c r="E18" s="246">
        <v>262569.87160000001</v>
      </c>
      <c r="F18" s="247"/>
      <c r="G18" s="246">
        <v>66708</v>
      </c>
      <c r="H18" s="252"/>
      <c r="I18" s="17"/>
    </row>
    <row r="19" spans="2:14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4" ht="32.25" customHeight="1" thickBot="1" x14ac:dyDescent="0.3">
      <c r="B20" s="97" t="s">
        <v>297</v>
      </c>
      <c r="C20" s="216">
        <f>E20+G20</f>
        <v>57797.038399999947</v>
      </c>
      <c r="D20" s="217"/>
      <c r="E20" s="248">
        <f>E17+E19-E18</f>
        <v>5405.2683999999426</v>
      </c>
      <c r="F20" s="254"/>
      <c r="G20" s="248">
        <f>G17-G18</f>
        <v>52391.770000000004</v>
      </c>
      <c r="H20" s="249"/>
      <c r="I20" s="17"/>
    </row>
    <row r="21" spans="2:14" x14ac:dyDescent="0.25">
      <c r="B21" s="14"/>
      <c r="C21" s="64"/>
      <c r="D21" s="91"/>
      <c r="E21" s="208"/>
      <c r="I21" s="17"/>
    </row>
    <row r="22" spans="2:14" ht="20.2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I22" s="16"/>
      <c r="J22" s="16"/>
      <c r="L22" s="17"/>
      <c r="M22" s="312" t="s">
        <v>301</v>
      </c>
      <c r="N22" s="312" t="s">
        <v>302</v>
      </c>
    </row>
    <row r="23" spans="2:14" ht="35.25" customHeight="1" x14ac:dyDescent="0.25">
      <c r="B23" s="235" t="s">
        <v>196</v>
      </c>
      <c r="C23" s="237" t="s">
        <v>197</v>
      </c>
      <c r="D23" s="237" t="s">
        <v>198</v>
      </c>
      <c r="E23" s="239" t="s">
        <v>325</v>
      </c>
      <c r="F23" s="241" t="s">
        <v>199</v>
      </c>
      <c r="G23" s="242"/>
      <c r="H23" s="243" t="s">
        <v>227</v>
      </c>
      <c r="I23" s="18"/>
      <c r="J23" s="18"/>
      <c r="L23" s="17"/>
      <c r="M23" s="313"/>
      <c r="N23" s="313"/>
    </row>
    <row r="24" spans="2:14" ht="45" customHeight="1" thickBot="1" x14ac:dyDescent="0.3">
      <c r="B24" s="236"/>
      <c r="C24" s="238"/>
      <c r="D24" s="238"/>
      <c r="E24" s="240"/>
      <c r="F24" s="19" t="s">
        <v>187</v>
      </c>
      <c r="G24" s="20" t="s">
        <v>188</v>
      </c>
      <c r="H24" s="244"/>
      <c r="I24" s="18"/>
      <c r="J24" s="18"/>
      <c r="M24" s="314">
        <v>42402.14</v>
      </c>
      <c r="N24" s="314">
        <f>M24*1.01</f>
        <v>42826.161399999997</v>
      </c>
    </row>
    <row r="25" spans="2:14" ht="50.25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4402.1810381978457</v>
      </c>
      <c r="G25" s="24">
        <f>$N$24/$N$25*E25</f>
        <v>4446.2028485798237</v>
      </c>
      <c r="H25" s="25">
        <f>F25-G25</f>
        <v>-44.021810381977957</v>
      </c>
      <c r="I25" s="26"/>
      <c r="J25" s="26"/>
      <c r="K25" s="27"/>
      <c r="L25" s="28"/>
      <c r="M25" s="315">
        <f>E34-E32</f>
        <v>10.209999999999999</v>
      </c>
      <c r="N25" s="315">
        <f>E34-E32</f>
        <v>10.209999999999999</v>
      </c>
    </row>
    <row r="26" spans="2:14" ht="56.25" x14ac:dyDescent="0.25">
      <c r="B26" s="29" t="s">
        <v>202</v>
      </c>
      <c r="C26" s="8" t="s">
        <v>223</v>
      </c>
      <c r="D26" s="22" t="s">
        <v>201</v>
      </c>
      <c r="E26" s="99">
        <v>0</v>
      </c>
      <c r="F26" s="23">
        <f>$M$24/$M$25*E26</f>
        <v>0</v>
      </c>
      <c r="G26" s="24">
        <f>$N$24/$N$25*E26</f>
        <v>0</v>
      </c>
      <c r="H26" s="25">
        <f t="shared" ref="H26:H31" si="0">F26-G26</f>
        <v>0</v>
      </c>
      <c r="I26" s="26"/>
      <c r="J26" s="26"/>
      <c r="K26" s="4"/>
      <c r="L26" s="4"/>
      <c r="M26" s="316"/>
      <c r="N26" s="316"/>
    </row>
    <row r="27" spans="2:14" ht="55.5" customHeight="1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1328.9603134182175</v>
      </c>
      <c r="G27" s="24">
        <f t="shared" ref="G27:G30" si="2">$N$24/$N$25*E27</f>
        <v>1342.2499165523996</v>
      </c>
      <c r="H27" s="25">
        <f t="shared" si="0"/>
        <v>-13.289603134182016</v>
      </c>
      <c r="I27" s="26"/>
      <c r="J27" s="26"/>
      <c r="L27" s="17"/>
    </row>
    <row r="28" spans="2:14" ht="29.25" customHeight="1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346.08341495266086</v>
      </c>
      <c r="G28" s="24">
        <f>($N$24/12*2)/$N$25*E28</f>
        <v>349.54424910218739</v>
      </c>
      <c r="H28" s="25">
        <f t="shared" si="0"/>
        <v>-3.4608341495265336</v>
      </c>
      <c r="I28" s="26"/>
      <c r="J28" s="26"/>
      <c r="L28" s="17"/>
    </row>
    <row r="29" spans="2:14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4900.5411557296766</v>
      </c>
      <c r="G29" s="24">
        <f t="shared" si="2"/>
        <v>4949.5465672869732</v>
      </c>
      <c r="H29" s="25">
        <f t="shared" si="0"/>
        <v>-49.005411557296611</v>
      </c>
      <c r="I29" s="26"/>
      <c r="J29" s="26"/>
    </row>
    <row r="30" spans="2:14" ht="211.5" customHeight="1" x14ac:dyDescent="0.25">
      <c r="B30" s="29" t="s">
        <v>218</v>
      </c>
      <c r="C30" s="32" t="s">
        <v>204</v>
      </c>
      <c r="D30" s="22" t="s">
        <v>201</v>
      </c>
      <c r="E30" s="99">
        <v>5.61</v>
      </c>
      <c r="F30" s="23">
        <f t="shared" si="1"/>
        <v>23298.335494613126</v>
      </c>
      <c r="G30" s="24">
        <f t="shared" si="2"/>
        <v>23531.318849559255</v>
      </c>
      <c r="H30" s="25">
        <f t="shared" si="0"/>
        <v>-232.98335494612911</v>
      </c>
      <c r="I30" s="26"/>
      <c r="J30" s="26"/>
      <c r="K30" s="4"/>
      <c r="L30" s="3"/>
      <c r="M30" s="316"/>
      <c r="N30" s="316"/>
    </row>
    <row r="31" spans="2:14" ht="112.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789.07018609206659</v>
      </c>
      <c r="G31" s="24">
        <f t="shared" ref="G31" si="3">$N$24/$N$25*E31</f>
        <v>796.96088795298726</v>
      </c>
      <c r="H31" s="25">
        <f t="shared" si="0"/>
        <v>-7.8907018609206716</v>
      </c>
      <c r="I31" s="26"/>
      <c r="J31" s="26"/>
    </row>
    <row r="32" spans="2:14" ht="56.25" customHeight="1" x14ac:dyDescent="0.25">
      <c r="B32" s="30" t="s">
        <v>206</v>
      </c>
      <c r="C32" s="8" t="s">
        <v>223</v>
      </c>
      <c r="D32" s="22" t="s">
        <v>201</v>
      </c>
      <c r="E32" s="99">
        <v>5.0999999999999996</v>
      </c>
      <c r="F32" s="23">
        <v>22956.58</v>
      </c>
      <c r="G32" s="6">
        <v>64279</v>
      </c>
      <c r="H32" s="25">
        <f>F32-G32</f>
        <v>-41322.42</v>
      </c>
      <c r="I32" s="26"/>
      <c r="J32" s="26"/>
      <c r="L32" s="17"/>
    </row>
    <row r="33" spans="2:14" ht="16.5" thickBot="1" x14ac:dyDescent="0.3">
      <c r="B33" s="67" t="s">
        <v>186</v>
      </c>
      <c r="C33" s="52" t="s">
        <v>204</v>
      </c>
      <c r="D33" s="53" t="s">
        <v>201</v>
      </c>
      <c r="E33" s="100">
        <f>1.06+0.29</f>
        <v>1.35</v>
      </c>
      <c r="F33" s="23">
        <f t="shared" si="1"/>
        <v>5606.5513222331047</v>
      </c>
      <c r="G33" s="24">
        <f t="shared" ref="G33" si="4">$N$24/$N$25*E33</f>
        <v>5662.6168354554356</v>
      </c>
      <c r="H33" s="33">
        <f>F33-G33</f>
        <v>-56.065513222330992</v>
      </c>
      <c r="I33" s="26"/>
      <c r="J33" s="26"/>
    </row>
    <row r="34" spans="2:14" ht="16.5" thickBot="1" x14ac:dyDescent="0.3">
      <c r="B34" s="66" t="s">
        <v>190</v>
      </c>
      <c r="C34" s="55"/>
      <c r="D34" s="55"/>
      <c r="E34" s="101">
        <f>SUM(E25:E33)</f>
        <v>15.309999999999999</v>
      </c>
      <c r="F34" s="56">
        <f>SUM(F25:F33)</f>
        <v>63628.302925236698</v>
      </c>
      <c r="G34" s="57">
        <f>SUM(G25:G33)</f>
        <v>105357.44015448907</v>
      </c>
      <c r="H34" s="38">
        <f>SUM(H25:H33)</f>
        <v>-41729.137229252367</v>
      </c>
      <c r="I34" s="39"/>
      <c r="J34" s="39"/>
    </row>
    <row r="35" spans="2:14" x14ac:dyDescent="0.25">
      <c r="B35" s="17"/>
      <c r="C35" s="17"/>
      <c r="D35" s="17"/>
      <c r="E35" s="86"/>
      <c r="F35" s="86"/>
      <c r="G35" s="86"/>
      <c r="I35" s="82"/>
      <c r="J35" s="82"/>
    </row>
    <row r="36" spans="2:14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40"/>
      <c r="J36" s="40"/>
    </row>
    <row r="37" spans="2:14" ht="44.2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41"/>
      <c r="J37" s="41"/>
      <c r="K37" s="42"/>
      <c r="L37" s="43"/>
      <c r="M37" s="317"/>
      <c r="N37" s="317"/>
    </row>
    <row r="38" spans="2:14" x14ac:dyDescent="0.25">
      <c r="B38" s="93" t="s">
        <v>15</v>
      </c>
      <c r="C38" s="222">
        <f>E38+G38</f>
        <v>438316.94292523671</v>
      </c>
      <c r="D38" s="223"/>
      <c r="E38" s="224">
        <f>F25+F26+F27+F28+F29+F30+F31+F33+E16</f>
        <v>296816.02292523673</v>
      </c>
      <c r="F38" s="225"/>
      <c r="G38" s="224">
        <f>F32+G16</f>
        <v>141500.91999999998</v>
      </c>
      <c r="H38" s="226"/>
      <c r="I38" s="212"/>
      <c r="J38" s="212"/>
      <c r="K38" s="9"/>
      <c r="L38" s="9"/>
      <c r="M38" s="318"/>
    </row>
    <row r="39" spans="2:14" x14ac:dyDescent="0.25">
      <c r="B39" s="94" t="s">
        <v>16</v>
      </c>
      <c r="C39" s="220">
        <f>E39+G39</f>
        <v>439854.03999999992</v>
      </c>
      <c r="D39" s="221"/>
      <c r="E39" s="220">
        <f>E17+41247.62</f>
        <v>298422.75999999995</v>
      </c>
      <c r="F39" s="221"/>
      <c r="G39" s="220">
        <f>G17+22331.51</f>
        <v>141431.28</v>
      </c>
      <c r="H39" s="251"/>
      <c r="I39" s="212"/>
      <c r="J39" s="212"/>
      <c r="K39" s="12"/>
      <c r="L39" s="9"/>
      <c r="M39" s="318"/>
    </row>
    <row r="40" spans="2:14" x14ac:dyDescent="0.25">
      <c r="B40" s="95" t="s">
        <v>189</v>
      </c>
      <c r="C40" s="220">
        <f>E40+G40</f>
        <v>434635.31175448908</v>
      </c>
      <c r="D40" s="221"/>
      <c r="E40" s="246">
        <f>G25+G26+G27+G28+G29+G30+G31+G33+E18</f>
        <v>303648.31175448908</v>
      </c>
      <c r="F40" s="247"/>
      <c r="G40" s="246">
        <f>G32+G18</f>
        <v>130987</v>
      </c>
      <c r="H40" s="252"/>
      <c r="I40" s="212"/>
      <c r="J40" s="212"/>
      <c r="K40" s="44"/>
      <c r="L40" s="44"/>
    </row>
    <row r="41" spans="2:14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212"/>
      <c r="J41" s="212"/>
      <c r="K41" s="44"/>
      <c r="L41" s="44"/>
    </row>
    <row r="42" spans="2:14" ht="27.75" customHeight="1" thickBot="1" x14ac:dyDescent="0.3">
      <c r="B42" s="97" t="s">
        <v>298</v>
      </c>
      <c r="C42" s="216">
        <f>E42+G42</f>
        <v>19618.728245510865</v>
      </c>
      <c r="D42" s="217"/>
      <c r="E42" s="248">
        <f>E39+E41-E40</f>
        <v>9174.4482455108664</v>
      </c>
      <c r="F42" s="254"/>
      <c r="G42" s="248">
        <f>G39-G40</f>
        <v>10444.279999999999</v>
      </c>
      <c r="H42" s="249"/>
      <c r="I42" s="212"/>
      <c r="J42" s="212"/>
      <c r="K42" s="44"/>
      <c r="L42" s="44"/>
    </row>
    <row r="43" spans="2:14" ht="34.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205"/>
      <c r="I43" s="205"/>
      <c r="J43" s="205"/>
      <c r="K43" s="4"/>
      <c r="L43" s="4"/>
      <c r="M43" s="316"/>
      <c r="N43" s="316"/>
    </row>
    <row r="44" spans="2:14" ht="11.25" customHeight="1" x14ac:dyDescent="0.25">
      <c r="B44" s="205"/>
      <c r="C44" s="205"/>
      <c r="D44" s="205"/>
      <c r="E44" s="209"/>
      <c r="F44" s="231"/>
      <c r="G44" s="231"/>
      <c r="H44" s="210"/>
      <c r="I44" s="210"/>
      <c r="J44" s="210"/>
      <c r="K44" s="4"/>
      <c r="L44" s="4"/>
      <c r="M44" s="316"/>
      <c r="N44" s="316"/>
    </row>
    <row r="45" spans="2:14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205"/>
      <c r="I45" s="205"/>
      <c r="J45" s="205"/>
      <c r="K45" s="4"/>
      <c r="L45" s="4"/>
      <c r="M45" s="316"/>
      <c r="N45" s="316"/>
    </row>
    <row r="46" spans="2:14" ht="9.75" customHeight="1" x14ac:dyDescent="0.25">
      <c r="B46" s="205"/>
      <c r="C46" s="205"/>
      <c r="D46" s="205"/>
      <c r="E46" s="209"/>
      <c r="F46" s="230"/>
      <c r="G46" s="230"/>
      <c r="H46" s="205"/>
      <c r="I46" s="205"/>
      <c r="J46" s="205"/>
    </row>
    <row r="47" spans="2:14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205"/>
      <c r="I47" s="205"/>
      <c r="J47" s="205"/>
    </row>
    <row r="48" spans="2:14" ht="8.25" customHeight="1" x14ac:dyDescent="0.25">
      <c r="B48" s="45"/>
      <c r="C48" s="45"/>
      <c r="D48" s="45"/>
      <c r="E48" s="209"/>
      <c r="F48" s="46"/>
      <c r="G48" s="47"/>
      <c r="H48" s="48"/>
      <c r="I48" s="48"/>
      <c r="J48" s="48"/>
    </row>
    <row r="49" spans="2:8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5"/>
    </row>
    <row r="50" spans="2:8" ht="9" customHeight="1" x14ac:dyDescent="0.25">
      <c r="E50" s="209"/>
    </row>
    <row r="51" spans="2:8" x14ac:dyDescent="0.25">
      <c r="C51" s="63"/>
    </row>
    <row r="52" spans="2:8" x14ac:dyDescent="0.25">
      <c r="C52" s="63"/>
    </row>
  </sheetData>
  <mergeCells count="59">
    <mergeCell ref="N22:N23"/>
    <mergeCell ref="C39:D39"/>
    <mergeCell ref="C40:D40"/>
    <mergeCell ref="C41:D41"/>
    <mergeCell ref="C42:D42"/>
    <mergeCell ref="M22:M23"/>
    <mergeCell ref="E41:F41"/>
    <mergeCell ref="G41:H41"/>
    <mergeCell ref="E40:F40"/>
    <mergeCell ref="B36:H36"/>
    <mergeCell ref="E37:F37"/>
    <mergeCell ref="G37:H37"/>
    <mergeCell ref="E38:F38"/>
    <mergeCell ref="G38:H38"/>
    <mergeCell ref="C37:D37"/>
    <mergeCell ref="C38:D38"/>
    <mergeCell ref="C15:D15"/>
    <mergeCell ref="C16:D16"/>
    <mergeCell ref="C17:D17"/>
    <mergeCell ref="C18:D18"/>
    <mergeCell ref="C19:D19"/>
    <mergeCell ref="G17:H17"/>
    <mergeCell ref="E20:F20"/>
    <mergeCell ref="G20:H20"/>
    <mergeCell ref="E18:F18"/>
    <mergeCell ref="G18:H18"/>
    <mergeCell ref="E19:F19"/>
    <mergeCell ref="G19:H19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B14:H14"/>
    <mergeCell ref="E15:F15"/>
    <mergeCell ref="G15:H15"/>
    <mergeCell ref="C20:D20"/>
    <mergeCell ref="E16:F16"/>
    <mergeCell ref="G16:H16"/>
    <mergeCell ref="E17:F17"/>
    <mergeCell ref="F49:G49"/>
    <mergeCell ref="E42:F42"/>
    <mergeCell ref="E39:F39"/>
    <mergeCell ref="F46:G46"/>
    <mergeCell ref="F47:G47"/>
    <mergeCell ref="G40:H40"/>
    <mergeCell ref="G42:H42"/>
    <mergeCell ref="F43:G43"/>
    <mergeCell ref="F44:G44"/>
    <mergeCell ref="F45:G45"/>
    <mergeCell ref="G39:H39"/>
    <mergeCell ref="C43:E43"/>
    <mergeCell ref="C45:E45"/>
    <mergeCell ref="C47:E47"/>
    <mergeCell ref="C49:E49"/>
  </mergeCells>
  <pageMargins left="0.19685039370078741" right="0.19685039370078741" top="0.16" bottom="0.23622047244094491" header="0.31496062992125984" footer="0.25"/>
  <pageSetup paperSize="9"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52"/>
  <sheetViews>
    <sheetView topLeftCell="A19" zoomScale="110" zoomScaleNormal="110" workbookViewId="0">
      <selection activeCell="M19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42578125" style="5" customWidth="1"/>
    <col min="3" max="3" width="20.140625" style="86" customWidth="1"/>
    <col min="4" max="5" width="10.7109375" style="82" customWidth="1"/>
    <col min="6" max="6" width="10.28515625" style="82" customWidth="1"/>
    <col min="7" max="7" width="10.28515625" style="5" customWidth="1"/>
    <col min="8" max="8" width="10.7109375" style="82" customWidth="1"/>
    <col min="9" max="9" width="10.7109375" style="5" bestFit="1" customWidth="1"/>
    <col min="10" max="10" width="10.5703125" style="5" customWidth="1"/>
    <col min="11" max="11" width="13.85546875" style="5" customWidth="1"/>
    <col min="12" max="12" width="12.7109375" style="5" customWidth="1"/>
    <col min="13" max="13" width="15.140625" style="310" customWidth="1"/>
    <col min="14" max="14" width="17.5703125" style="310" customWidth="1"/>
    <col min="15" max="16384" width="9.140625" style="5"/>
  </cols>
  <sheetData>
    <row r="1" spans="2:9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9" ht="25.5" customHeight="1" x14ac:dyDescent="0.35">
      <c r="B3" s="265"/>
      <c r="C3" s="265"/>
      <c r="D3" s="265"/>
      <c r="E3" s="265"/>
      <c r="F3" s="265"/>
      <c r="G3" s="265"/>
      <c r="H3" s="265"/>
      <c r="I3" s="59"/>
    </row>
    <row r="4" spans="2:9" ht="13.5" customHeight="1" x14ac:dyDescent="0.25"/>
    <row r="5" spans="2:9" x14ac:dyDescent="0.25">
      <c r="B5" s="9" t="s">
        <v>0</v>
      </c>
      <c r="C5" s="129"/>
      <c r="D5" s="130" t="s">
        <v>46</v>
      </c>
      <c r="E5" s="131"/>
    </row>
    <row r="6" spans="2:9" x14ac:dyDescent="0.25">
      <c r="B6" s="9" t="s">
        <v>1</v>
      </c>
      <c r="C6" s="129"/>
      <c r="D6" s="130">
        <v>1961</v>
      </c>
      <c r="E6" s="207"/>
    </row>
    <row r="7" spans="2:9" hidden="1" outlineLevel="1" x14ac:dyDescent="0.25">
      <c r="B7" s="9" t="s">
        <v>2</v>
      </c>
      <c r="C7" s="129"/>
      <c r="D7" s="130">
        <v>2</v>
      </c>
      <c r="E7" s="207"/>
    </row>
    <row r="8" spans="2:9" hidden="1" outlineLevel="1" x14ac:dyDescent="0.25">
      <c r="B8" s="9" t="s">
        <v>3</v>
      </c>
      <c r="C8" s="129"/>
      <c r="D8" s="130">
        <v>8</v>
      </c>
      <c r="E8" s="207"/>
    </row>
    <row r="9" spans="2:9" ht="26.25" hidden="1" outlineLevel="1" x14ac:dyDescent="0.25">
      <c r="B9" s="83" t="s">
        <v>4</v>
      </c>
      <c r="C9" s="132"/>
      <c r="D9" s="130" t="s">
        <v>47</v>
      </c>
      <c r="E9" s="207"/>
    </row>
    <row r="10" spans="2:9" collapsed="1" x14ac:dyDescent="0.25">
      <c r="B10" s="9" t="s">
        <v>5</v>
      </c>
      <c r="C10" s="129"/>
      <c r="D10" s="130" t="s">
        <v>239</v>
      </c>
      <c r="E10" s="207"/>
      <c r="I10" s="17"/>
    </row>
    <row r="11" spans="2:9" hidden="1" outlineLevel="1" x14ac:dyDescent="0.25">
      <c r="B11" s="44" t="s">
        <v>6</v>
      </c>
      <c r="C11" s="68"/>
      <c r="D11" s="90" t="s">
        <v>13</v>
      </c>
      <c r="E11" s="208"/>
    </row>
    <row r="12" spans="2:9" ht="31.5" hidden="1" customHeight="1" outlineLevel="1" x14ac:dyDescent="0.25">
      <c r="B12" s="69" t="s">
        <v>7</v>
      </c>
      <c r="C12" s="70"/>
      <c r="D12" s="89" t="s">
        <v>48</v>
      </c>
      <c r="E12" s="208"/>
      <c r="I12" s="17"/>
    </row>
    <row r="13" spans="2:9" ht="10.5" customHeight="1" collapsed="1" x14ac:dyDescent="0.25">
      <c r="B13" s="69"/>
      <c r="C13" s="70"/>
      <c r="D13" s="89"/>
      <c r="E13" s="208"/>
      <c r="I13" s="17"/>
    </row>
    <row r="14" spans="2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9" ht="39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9" x14ac:dyDescent="0.25">
      <c r="B16" s="93" t="s">
        <v>15</v>
      </c>
      <c r="C16" s="222">
        <v>367760.62</v>
      </c>
      <c r="D16" s="253"/>
      <c r="E16" s="224">
        <v>250559.44999999998</v>
      </c>
      <c r="F16" s="225"/>
      <c r="G16" s="224">
        <v>117201.17</v>
      </c>
      <c r="H16" s="226"/>
      <c r="I16" s="17"/>
    </row>
    <row r="17" spans="2:14" x14ac:dyDescent="0.25">
      <c r="B17" s="94" t="s">
        <v>16</v>
      </c>
      <c r="C17" s="220">
        <v>363469.23</v>
      </c>
      <c r="D17" s="221"/>
      <c r="E17" s="220">
        <v>247703.76</v>
      </c>
      <c r="F17" s="221"/>
      <c r="G17" s="220">
        <v>115765.47</v>
      </c>
      <c r="H17" s="251"/>
      <c r="I17" s="17"/>
    </row>
    <row r="18" spans="2:14" x14ac:dyDescent="0.25">
      <c r="B18" s="95" t="s">
        <v>189</v>
      </c>
      <c r="C18" s="220">
        <v>308411.54810000001</v>
      </c>
      <c r="D18" s="221"/>
      <c r="E18" s="246">
        <v>255593.54809999999</v>
      </c>
      <c r="F18" s="247"/>
      <c r="G18" s="246">
        <v>52818</v>
      </c>
      <c r="H18" s="252"/>
      <c r="I18" s="17"/>
    </row>
    <row r="19" spans="2:14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4" ht="33" customHeight="1" thickBot="1" x14ac:dyDescent="0.3">
      <c r="B20" s="97" t="s">
        <v>297</v>
      </c>
      <c r="C20" s="216">
        <f>E20+G20</f>
        <v>65857.681900000025</v>
      </c>
      <c r="D20" s="217"/>
      <c r="E20" s="248">
        <f>E17+E19-E18</f>
        <v>2910.2119000000239</v>
      </c>
      <c r="F20" s="254"/>
      <c r="G20" s="248">
        <f>G17-G18</f>
        <v>62947.47</v>
      </c>
      <c r="H20" s="249"/>
      <c r="I20" s="17"/>
    </row>
    <row r="21" spans="2:14" x14ac:dyDescent="0.25">
      <c r="B21" s="14"/>
      <c r="C21" s="64"/>
      <c r="D21" s="91"/>
      <c r="E21" s="208"/>
      <c r="I21" s="17"/>
    </row>
    <row r="22" spans="2:14" ht="18.7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I22" s="16"/>
      <c r="J22" s="16"/>
      <c r="L22" s="17"/>
      <c r="M22" s="312" t="s">
        <v>301</v>
      </c>
      <c r="N22" s="312" t="s">
        <v>302</v>
      </c>
    </row>
    <row r="23" spans="2:14" ht="35.25" customHeight="1" x14ac:dyDescent="0.25">
      <c r="B23" s="235" t="s">
        <v>196</v>
      </c>
      <c r="C23" s="237" t="s">
        <v>197</v>
      </c>
      <c r="D23" s="237" t="s">
        <v>198</v>
      </c>
      <c r="E23" s="239" t="s">
        <v>325</v>
      </c>
      <c r="F23" s="241" t="s">
        <v>199</v>
      </c>
      <c r="G23" s="242"/>
      <c r="H23" s="243" t="s">
        <v>227</v>
      </c>
      <c r="I23" s="18"/>
      <c r="J23" s="18"/>
      <c r="L23" s="17"/>
      <c r="M23" s="313"/>
      <c r="N23" s="313"/>
    </row>
    <row r="24" spans="2:14" ht="45" customHeight="1" thickBot="1" x14ac:dyDescent="0.3">
      <c r="B24" s="236"/>
      <c r="C24" s="238"/>
      <c r="D24" s="238"/>
      <c r="E24" s="240"/>
      <c r="F24" s="19" t="s">
        <v>187</v>
      </c>
      <c r="G24" s="20" t="s">
        <v>188</v>
      </c>
      <c r="H24" s="244"/>
      <c r="I24" s="18"/>
      <c r="J24" s="18"/>
      <c r="M24" s="314">
        <v>46469.16</v>
      </c>
      <c r="N24" s="314">
        <f>M24*1.01</f>
        <v>46933.851600000002</v>
      </c>
    </row>
    <row r="25" spans="2:14" ht="62.25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 t="shared" ref="F25:F30" si="0">$M$24/$M$25*E25</f>
        <v>4565.0889341983329</v>
      </c>
      <c r="G25" s="24">
        <f>$N$24/$N$25*E25</f>
        <v>4610.7398235403152</v>
      </c>
      <c r="H25" s="25">
        <f>F25-G25</f>
        <v>-45.650889341982293</v>
      </c>
      <c r="I25" s="26"/>
      <c r="J25" s="26"/>
      <c r="K25" s="27"/>
      <c r="L25" s="28"/>
      <c r="M25" s="315">
        <f>E34-E32</f>
        <v>10.79</v>
      </c>
      <c r="N25" s="315">
        <f>E34-E32</f>
        <v>10.79</v>
      </c>
    </row>
    <row r="26" spans="2:14" ht="62.25" customHeight="1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 t="shared" si="0"/>
        <v>5124.9583317886945</v>
      </c>
      <c r="G26" s="24">
        <f t="shared" ref="G26:G30" si="1">$N$24/$N$25*E26</f>
        <v>5176.20791510658</v>
      </c>
      <c r="H26" s="25">
        <f t="shared" ref="H26:H31" si="2">F26-G26</f>
        <v>-51.249583317885481</v>
      </c>
      <c r="I26" s="26"/>
      <c r="J26" s="26"/>
      <c r="K26" s="4"/>
      <c r="L26" s="4"/>
      <c r="M26" s="316"/>
      <c r="N26" s="316"/>
    </row>
    <row r="27" spans="2:14" ht="63.75" customHeight="1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si="0"/>
        <v>1378.1400556070439</v>
      </c>
      <c r="G27" s="24">
        <f t="shared" si="1"/>
        <v>1391.921456163114</v>
      </c>
      <c r="H27" s="25">
        <f t="shared" si="2"/>
        <v>-13.781400556070139</v>
      </c>
      <c r="I27" s="26"/>
      <c r="J27" s="26"/>
      <c r="L27" s="17"/>
    </row>
    <row r="28" spans="2:14" ht="29.25" customHeight="1" x14ac:dyDescent="0.25">
      <c r="B28" s="30" t="s">
        <v>185</v>
      </c>
      <c r="C28" s="31" t="s">
        <v>203</v>
      </c>
      <c r="D28" s="22" t="s">
        <v>201</v>
      </c>
      <c r="E28" s="99">
        <v>0</v>
      </c>
      <c r="F28" s="23">
        <f t="shared" ref="F28" si="3">$M$24/$M$25*E28</f>
        <v>0</v>
      </c>
      <c r="G28" s="24">
        <f t="shared" ref="G28" si="4">$N$24/$N$25*E28</f>
        <v>0</v>
      </c>
      <c r="H28" s="25">
        <f t="shared" si="2"/>
        <v>0</v>
      </c>
      <c r="I28" s="26"/>
      <c r="J28" s="26"/>
      <c r="L28" s="17"/>
    </row>
    <row r="29" spans="2:14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0"/>
        <v>5081.8914550509744</v>
      </c>
      <c r="G29" s="24">
        <f t="shared" si="1"/>
        <v>5132.7103696014829</v>
      </c>
      <c r="H29" s="25">
        <f t="shared" si="2"/>
        <v>-50.818914550508453</v>
      </c>
      <c r="I29" s="26"/>
      <c r="J29" s="26"/>
    </row>
    <row r="30" spans="2:14" ht="215.25" customHeight="1" x14ac:dyDescent="0.25">
      <c r="B30" s="29" t="s">
        <v>218</v>
      </c>
      <c r="C30" s="32" t="s">
        <v>204</v>
      </c>
      <c r="D30" s="22" t="s">
        <v>201</v>
      </c>
      <c r="E30" s="99">
        <v>5.61</v>
      </c>
      <c r="F30" s="23">
        <f t="shared" si="0"/>
        <v>24160.517849860989</v>
      </c>
      <c r="G30" s="24">
        <f t="shared" si="1"/>
        <v>24402.123028359594</v>
      </c>
      <c r="H30" s="25">
        <f t="shared" si="2"/>
        <v>-241.6051784986048</v>
      </c>
      <c r="I30" s="26"/>
      <c r="J30" s="26"/>
      <c r="K30" s="4"/>
      <c r="L30" s="3"/>
      <c r="M30" s="316"/>
      <c r="N30" s="316"/>
    </row>
    <row r="31" spans="2:14" ht="112.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>$M$24/$M$25*E31</f>
        <v>818.27065801668232</v>
      </c>
      <c r="G31" s="24">
        <f t="shared" ref="G31" si="5">$N$24/$N$25*E31</f>
        <v>826.45336459684893</v>
      </c>
      <c r="H31" s="25">
        <f t="shared" si="2"/>
        <v>-8.1827065801666095</v>
      </c>
      <c r="I31" s="26"/>
      <c r="J31" s="26"/>
    </row>
    <row r="32" spans="2:14" ht="66.75" customHeight="1" x14ac:dyDescent="0.25">
      <c r="B32" s="30" t="s">
        <v>206</v>
      </c>
      <c r="C32" s="8" t="s">
        <v>223</v>
      </c>
      <c r="D32" s="22" t="s">
        <v>201</v>
      </c>
      <c r="E32" s="99">
        <v>5.0999999999999996</v>
      </c>
      <c r="F32" s="23">
        <v>22613.81</v>
      </c>
      <c r="G32" s="6">
        <v>27218</v>
      </c>
      <c r="H32" s="25">
        <f>F32-G32</f>
        <v>-4604.1899999999987</v>
      </c>
      <c r="I32" s="26"/>
      <c r="J32" s="26"/>
      <c r="L32" s="17"/>
    </row>
    <row r="33" spans="2:14" ht="16.5" thickBot="1" x14ac:dyDescent="0.3">
      <c r="B33" s="67" t="s">
        <v>186</v>
      </c>
      <c r="C33" s="52" t="s">
        <v>204</v>
      </c>
      <c r="D33" s="53" t="s">
        <v>201</v>
      </c>
      <c r="E33" s="100">
        <f>0.93+0.31</f>
        <v>1.24</v>
      </c>
      <c r="F33" s="23">
        <f>$M$24/$M$25*E33</f>
        <v>5340.2927154772951</v>
      </c>
      <c r="G33" s="24">
        <f t="shared" ref="G33" si="6">$N$24/$N$25*E33</f>
        <v>5393.6956426320667</v>
      </c>
      <c r="H33" s="33">
        <f>F33-G33</f>
        <v>-53.402927154771533</v>
      </c>
      <c r="I33" s="26"/>
      <c r="J33" s="26"/>
    </row>
    <row r="34" spans="2:14" ht="16.5" thickBot="1" x14ac:dyDescent="0.3">
      <c r="B34" s="66" t="s">
        <v>190</v>
      </c>
      <c r="C34" s="55"/>
      <c r="D34" s="55"/>
      <c r="E34" s="101">
        <f>SUM(E25:E33)</f>
        <v>15.889999999999999</v>
      </c>
      <c r="F34" s="56">
        <f>SUM(F25:F33)</f>
        <v>69082.970000000016</v>
      </c>
      <c r="G34" s="57">
        <f>SUM(G25:G33)</f>
        <v>74151.851600000009</v>
      </c>
      <c r="H34" s="38">
        <f>SUM(H25:H33)</f>
        <v>-5068.8815999999879</v>
      </c>
      <c r="I34" s="39"/>
      <c r="J34" s="39"/>
    </row>
    <row r="35" spans="2:14" x14ac:dyDescent="0.25">
      <c r="B35" s="17"/>
      <c r="C35" s="17"/>
      <c r="D35" s="17"/>
      <c r="E35" s="86"/>
      <c r="F35" s="86"/>
      <c r="G35" s="86"/>
      <c r="I35" s="82"/>
      <c r="J35" s="82"/>
    </row>
    <row r="36" spans="2:14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40"/>
      <c r="J36" s="40"/>
    </row>
    <row r="37" spans="2:14" ht="44.2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41"/>
      <c r="J37" s="41"/>
      <c r="K37" s="42"/>
      <c r="L37" s="43"/>
      <c r="M37" s="317"/>
      <c r="N37" s="317"/>
    </row>
    <row r="38" spans="2:14" x14ac:dyDescent="0.25">
      <c r="B38" s="93" t="s">
        <v>15</v>
      </c>
      <c r="C38" s="222">
        <f>E38+G38</f>
        <v>436843.58999999997</v>
      </c>
      <c r="D38" s="223"/>
      <c r="E38" s="224">
        <f>F25+F26+F27+F28+F29+F30+F31+F33+E16</f>
        <v>297028.61</v>
      </c>
      <c r="F38" s="225"/>
      <c r="G38" s="224">
        <f>F32+G16</f>
        <v>139814.98000000001</v>
      </c>
      <c r="H38" s="226"/>
      <c r="I38" s="212"/>
      <c r="J38" s="212"/>
      <c r="K38" s="9"/>
      <c r="L38" s="9"/>
      <c r="M38" s="318"/>
    </row>
    <row r="39" spans="2:14" x14ac:dyDescent="0.25">
      <c r="B39" s="94" t="s">
        <v>16</v>
      </c>
      <c r="C39" s="220">
        <f>E39+G39</f>
        <v>432689.70000000007</v>
      </c>
      <c r="D39" s="221"/>
      <c r="E39" s="220">
        <f>E17+46561.65</f>
        <v>294265.41000000003</v>
      </c>
      <c r="F39" s="221"/>
      <c r="G39" s="220">
        <f>G17+22658.82</f>
        <v>138424.29</v>
      </c>
      <c r="H39" s="251"/>
      <c r="I39" s="212"/>
      <c r="J39" s="212"/>
      <c r="K39" s="12"/>
      <c r="L39" s="9"/>
      <c r="M39" s="318"/>
    </row>
    <row r="40" spans="2:14" x14ac:dyDescent="0.25">
      <c r="B40" s="95" t="s">
        <v>189</v>
      </c>
      <c r="C40" s="220">
        <f>E40+G40</f>
        <v>382563.39970000001</v>
      </c>
      <c r="D40" s="221"/>
      <c r="E40" s="246">
        <f>G25+G26+G27+G28+G29+G30+G31+G33+E18</f>
        <v>302527.39970000001</v>
      </c>
      <c r="F40" s="247"/>
      <c r="G40" s="246">
        <f>G32+G18</f>
        <v>80036</v>
      </c>
      <c r="H40" s="252"/>
      <c r="I40" s="212"/>
      <c r="J40" s="212"/>
      <c r="K40" s="44"/>
      <c r="L40" s="44"/>
    </row>
    <row r="41" spans="2:14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212"/>
      <c r="J41" s="212"/>
      <c r="K41" s="44"/>
      <c r="L41" s="44"/>
    </row>
    <row r="42" spans="2:14" ht="29.25" customHeight="1" thickBot="1" x14ac:dyDescent="0.3">
      <c r="B42" s="97" t="s">
        <v>298</v>
      </c>
      <c r="C42" s="216">
        <f>E42+G42</f>
        <v>64526.300300000032</v>
      </c>
      <c r="D42" s="217"/>
      <c r="E42" s="248">
        <f>E39+E41-E40</f>
        <v>6138.0103000000236</v>
      </c>
      <c r="F42" s="254"/>
      <c r="G42" s="248">
        <f>G39-G40</f>
        <v>58388.290000000008</v>
      </c>
      <c r="H42" s="249"/>
      <c r="I42" s="212"/>
      <c r="J42" s="212"/>
      <c r="K42" s="44"/>
      <c r="L42" s="44"/>
    </row>
    <row r="43" spans="2:14" ht="34.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205"/>
      <c r="I43" s="205"/>
      <c r="J43" s="205"/>
      <c r="K43" s="4"/>
      <c r="L43" s="4"/>
      <c r="M43" s="316"/>
      <c r="N43" s="316"/>
    </row>
    <row r="44" spans="2:14" ht="11.25" customHeight="1" x14ac:dyDescent="0.25">
      <c r="B44" s="205"/>
      <c r="C44" s="205"/>
      <c r="D44" s="205"/>
      <c r="E44" s="209"/>
      <c r="F44" s="231"/>
      <c r="G44" s="231"/>
      <c r="H44" s="210"/>
      <c r="I44" s="210"/>
      <c r="J44" s="210"/>
      <c r="K44" s="4"/>
      <c r="L44" s="4"/>
      <c r="M44" s="316"/>
      <c r="N44" s="316"/>
    </row>
    <row r="45" spans="2:14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205"/>
      <c r="I45" s="205"/>
      <c r="J45" s="205"/>
      <c r="K45" s="4"/>
      <c r="L45" s="4"/>
      <c r="M45" s="316"/>
      <c r="N45" s="316"/>
    </row>
    <row r="46" spans="2:14" ht="9.75" customHeight="1" x14ac:dyDescent="0.25">
      <c r="B46" s="205"/>
      <c r="C46" s="205"/>
      <c r="D46" s="205"/>
      <c r="E46" s="209"/>
      <c r="F46" s="230"/>
      <c r="G46" s="230"/>
      <c r="H46" s="205"/>
      <c r="I46" s="205"/>
      <c r="J46" s="205"/>
    </row>
    <row r="47" spans="2:14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205"/>
      <c r="I47" s="205"/>
      <c r="J47" s="205"/>
    </row>
    <row r="48" spans="2:14" ht="8.25" customHeight="1" x14ac:dyDescent="0.25">
      <c r="B48" s="45"/>
      <c r="C48" s="45"/>
      <c r="D48" s="45"/>
      <c r="E48" s="209"/>
      <c r="F48" s="46"/>
      <c r="G48" s="47"/>
      <c r="H48" s="48"/>
      <c r="I48" s="48"/>
      <c r="J48" s="48"/>
    </row>
    <row r="49" spans="2:8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5"/>
    </row>
    <row r="50" spans="2:8" ht="9" customHeight="1" x14ac:dyDescent="0.25">
      <c r="E50" s="209"/>
    </row>
    <row r="51" spans="2:8" x14ac:dyDescent="0.25">
      <c r="C51" s="63"/>
    </row>
    <row r="52" spans="2:8" x14ac:dyDescent="0.25">
      <c r="C52" s="63"/>
    </row>
  </sheetData>
  <mergeCells count="59">
    <mergeCell ref="C40:D40"/>
    <mergeCell ref="C41:D41"/>
    <mergeCell ref="C42:D42"/>
    <mergeCell ref="N22:N23"/>
    <mergeCell ref="M22:M23"/>
    <mergeCell ref="C37:D37"/>
    <mergeCell ref="C38:D38"/>
    <mergeCell ref="C39:D39"/>
    <mergeCell ref="E37:F37"/>
    <mergeCell ref="G37:H37"/>
    <mergeCell ref="E38:F38"/>
    <mergeCell ref="G38:H38"/>
    <mergeCell ref="B36:H36"/>
    <mergeCell ref="E39:F39"/>
    <mergeCell ref="G39:H39"/>
    <mergeCell ref="E40:F40"/>
    <mergeCell ref="C15:D15"/>
    <mergeCell ref="C16:D16"/>
    <mergeCell ref="C17:D17"/>
    <mergeCell ref="C18:D18"/>
    <mergeCell ref="C19:D19"/>
    <mergeCell ref="G17:H17"/>
    <mergeCell ref="E20:F20"/>
    <mergeCell ref="G20:H20"/>
    <mergeCell ref="E18:F18"/>
    <mergeCell ref="G18:H18"/>
    <mergeCell ref="E19:F19"/>
    <mergeCell ref="G19:H19"/>
    <mergeCell ref="G40:H40"/>
    <mergeCell ref="E42:F42"/>
    <mergeCell ref="G42:H42"/>
    <mergeCell ref="E41:F41"/>
    <mergeCell ref="G41:H41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B14:H14"/>
    <mergeCell ref="E15:F15"/>
    <mergeCell ref="G15:H15"/>
    <mergeCell ref="C20:D20"/>
    <mergeCell ref="E16:F16"/>
    <mergeCell ref="G16:H16"/>
    <mergeCell ref="E17:F17"/>
    <mergeCell ref="C45:E45"/>
    <mergeCell ref="C47:E47"/>
    <mergeCell ref="C49:E49"/>
    <mergeCell ref="F43:G43"/>
    <mergeCell ref="F49:G49"/>
    <mergeCell ref="F45:G45"/>
    <mergeCell ref="F46:G46"/>
    <mergeCell ref="F47:G47"/>
    <mergeCell ref="F44:G44"/>
    <mergeCell ref="C43:E43"/>
  </mergeCells>
  <printOptions horizontalCentered="1"/>
  <pageMargins left="0.19685039370078741" right="0.19685039370078741" top="0.15748031496062992" bottom="0.23622047244094491" header="0.6692913385826772" footer="0.23622047244094491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50"/>
  <sheetViews>
    <sheetView topLeftCell="A13" zoomScale="110" zoomScaleNormal="110" workbookViewId="0">
      <selection activeCell="M13" sqref="M1:N1048576"/>
    </sheetView>
  </sheetViews>
  <sheetFormatPr defaultColWidth="9.140625" defaultRowHeight="18" customHeight="1" outlineLevelRow="1" x14ac:dyDescent="0.25"/>
  <cols>
    <col min="1" max="1" width="2.85546875" style="5" customWidth="1"/>
    <col min="2" max="2" width="57.7109375" style="5" customWidth="1"/>
    <col min="3" max="3" width="21.7109375" style="63" customWidth="1"/>
    <col min="4" max="4" width="9.140625" style="82" customWidth="1"/>
    <col min="5" max="5" width="10.42578125" style="82" customWidth="1"/>
    <col min="6" max="6" width="9.7109375" style="82" customWidth="1"/>
    <col min="7" max="7" width="10.28515625" style="5" customWidth="1"/>
    <col min="8" max="8" width="10.42578125" style="82" customWidth="1"/>
    <col min="9" max="9" width="10.140625" style="5" customWidth="1"/>
    <col min="10" max="10" width="9.5703125" style="5" bestFit="1" customWidth="1"/>
    <col min="11" max="11" width="13.85546875" style="5" customWidth="1"/>
    <col min="12" max="12" width="13" style="5" customWidth="1"/>
    <col min="13" max="13" width="13.85546875" style="310" customWidth="1"/>
    <col min="14" max="14" width="12.85546875" style="310" customWidth="1"/>
    <col min="15" max="16384" width="9.140625" style="5"/>
  </cols>
  <sheetData>
    <row r="1" spans="2:9" ht="18" customHeight="1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9" ht="19.5" customHeight="1" x14ac:dyDescent="0.35">
      <c r="B3" s="265"/>
      <c r="C3" s="265"/>
      <c r="D3" s="265"/>
      <c r="E3" s="265"/>
      <c r="F3" s="265"/>
      <c r="G3" s="265"/>
      <c r="H3" s="265"/>
      <c r="I3" s="59"/>
    </row>
    <row r="4" spans="2:9" ht="10.5" customHeight="1" x14ac:dyDescent="0.25"/>
    <row r="5" spans="2:9" ht="14.25" customHeight="1" x14ac:dyDescent="0.25">
      <c r="B5" s="10" t="s">
        <v>0</v>
      </c>
      <c r="C5" s="127"/>
      <c r="D5" s="234" t="s">
        <v>49</v>
      </c>
      <c r="E5" s="234"/>
      <c r="F5" s="48"/>
    </row>
    <row r="6" spans="2:9" ht="15" customHeight="1" x14ac:dyDescent="0.25">
      <c r="B6" s="10" t="s">
        <v>1</v>
      </c>
      <c r="C6" s="127"/>
      <c r="D6" s="207">
        <v>1961</v>
      </c>
      <c r="E6" s="207"/>
      <c r="F6" s="48"/>
    </row>
    <row r="7" spans="2:9" ht="18" hidden="1" customHeight="1" outlineLevel="1" x14ac:dyDescent="0.25">
      <c r="B7" s="10" t="s">
        <v>2</v>
      </c>
      <c r="C7" s="127"/>
      <c r="D7" s="207">
        <v>2</v>
      </c>
      <c r="E7" s="207"/>
      <c r="F7" s="48"/>
    </row>
    <row r="8" spans="2:9" ht="18" hidden="1" customHeight="1" outlineLevel="1" x14ac:dyDescent="0.25">
      <c r="B8" s="10" t="s">
        <v>3</v>
      </c>
      <c r="C8" s="127"/>
      <c r="D8" s="207">
        <v>15</v>
      </c>
      <c r="E8" s="207"/>
      <c r="F8" s="48"/>
    </row>
    <row r="9" spans="2:9" ht="30" hidden="1" customHeight="1" outlineLevel="1" x14ac:dyDescent="0.25">
      <c r="B9" s="122" t="s">
        <v>4</v>
      </c>
      <c r="C9" s="128"/>
      <c r="D9" s="207" t="s">
        <v>50</v>
      </c>
      <c r="E9" s="207"/>
      <c r="F9" s="48"/>
    </row>
    <row r="10" spans="2:9" ht="15" customHeight="1" collapsed="1" x14ac:dyDescent="0.25">
      <c r="B10" s="10" t="s">
        <v>5</v>
      </c>
      <c r="C10" s="127"/>
      <c r="D10" s="207" t="s">
        <v>240</v>
      </c>
      <c r="E10" s="207"/>
      <c r="F10" s="48"/>
      <c r="I10" s="17"/>
    </row>
    <row r="11" spans="2:9" ht="18" hidden="1" customHeight="1" outlineLevel="1" x14ac:dyDescent="0.25">
      <c r="B11" s="5" t="s">
        <v>6</v>
      </c>
      <c r="D11" s="208" t="s">
        <v>13</v>
      </c>
      <c r="E11" s="208"/>
    </row>
    <row r="12" spans="2:9" ht="33.75" hidden="1" customHeight="1" outlineLevel="1" x14ac:dyDescent="0.25">
      <c r="B12" s="14" t="s">
        <v>7</v>
      </c>
      <c r="C12" s="64"/>
      <c r="D12" s="91" t="s">
        <v>51</v>
      </c>
      <c r="E12" s="208"/>
      <c r="I12" s="17"/>
    </row>
    <row r="13" spans="2:9" ht="9" customHeight="1" collapsed="1" x14ac:dyDescent="0.25">
      <c r="B13" s="14"/>
      <c r="C13" s="64"/>
      <c r="D13" s="91"/>
      <c r="E13" s="208"/>
      <c r="I13" s="17"/>
    </row>
    <row r="14" spans="2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9" ht="42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9" ht="15.75" x14ac:dyDescent="0.25">
      <c r="B16" s="93" t="s">
        <v>15</v>
      </c>
      <c r="C16" s="222">
        <v>651671.30000000005</v>
      </c>
      <c r="D16" s="253"/>
      <c r="E16" s="224">
        <v>451312.89</v>
      </c>
      <c r="F16" s="225"/>
      <c r="G16" s="224">
        <v>200358.41</v>
      </c>
      <c r="H16" s="226"/>
      <c r="I16" s="17"/>
    </row>
    <row r="17" spans="2:14" ht="15.75" x14ac:dyDescent="0.25">
      <c r="B17" s="94" t="s">
        <v>16</v>
      </c>
      <c r="C17" s="220">
        <v>618266.98</v>
      </c>
      <c r="D17" s="221"/>
      <c r="E17" s="220">
        <v>428515.41000000003</v>
      </c>
      <c r="F17" s="221"/>
      <c r="G17" s="220">
        <v>189751.57</v>
      </c>
      <c r="H17" s="251"/>
      <c r="I17" s="17"/>
    </row>
    <row r="18" spans="2:14" ht="16.5" thickBot="1" x14ac:dyDescent="0.3">
      <c r="B18" s="95" t="s">
        <v>189</v>
      </c>
      <c r="C18" s="220">
        <v>625358.25199999998</v>
      </c>
      <c r="D18" s="221"/>
      <c r="E18" s="246">
        <v>455722.25199999998</v>
      </c>
      <c r="F18" s="247"/>
      <c r="G18" s="246">
        <v>169636</v>
      </c>
      <c r="H18" s="252"/>
      <c r="I18" s="17"/>
    </row>
    <row r="19" spans="2:14" ht="30.75" customHeight="1" thickBot="1" x14ac:dyDescent="0.3">
      <c r="B19" s="97" t="s">
        <v>297</v>
      </c>
      <c r="C19" s="216">
        <f>E19+G19</f>
        <v>-7091.271999999939</v>
      </c>
      <c r="D19" s="217"/>
      <c r="E19" s="248">
        <f>E17-E18</f>
        <v>-27206.841999999946</v>
      </c>
      <c r="F19" s="254"/>
      <c r="G19" s="248">
        <f>G17-G18</f>
        <v>20115.570000000007</v>
      </c>
      <c r="H19" s="249"/>
      <c r="I19" s="17"/>
    </row>
    <row r="20" spans="2:14" ht="15.75" x14ac:dyDescent="0.25">
      <c r="B20" s="14"/>
      <c r="C20" s="64"/>
      <c r="D20" s="91"/>
      <c r="E20" s="208"/>
      <c r="I20" s="17"/>
    </row>
    <row r="21" spans="2:14" ht="19.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35.2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4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72235.490000000005</v>
      </c>
      <c r="N23" s="314">
        <f>M23*1.01</f>
        <v>72957.844900000011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7129.3872811918081</v>
      </c>
      <c r="G24" s="24">
        <f>$N$23/$N$24*E24</f>
        <v>7200.681154003727</v>
      </c>
      <c r="H24" s="25">
        <f>F24-G24</f>
        <v>-71.293872811918845</v>
      </c>
      <c r="I24" s="26"/>
      <c r="J24" s="26"/>
      <c r="K24" s="27"/>
      <c r="L24" s="28"/>
      <c r="M24" s="315">
        <f>E33-E31</f>
        <v>10.739999999999998</v>
      </c>
      <c r="N24" s="315">
        <f>E33-E31</f>
        <v>10.739999999999998</v>
      </c>
    </row>
    <row r="25" spans="2:14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8003.7460986964625</v>
      </c>
      <c r="G25" s="24">
        <f>$N$23/$N$24*E25</f>
        <v>8083.7835596834284</v>
      </c>
      <c r="H25" s="25">
        <f t="shared" ref="H25:H30" si="0">F25-G25</f>
        <v>-80.037460986965925</v>
      </c>
      <c r="I25" s="26"/>
      <c r="J25" s="26"/>
      <c r="K25" s="4"/>
      <c r="L25" s="4"/>
      <c r="M25" s="316"/>
      <c r="N25" s="316"/>
    </row>
    <row r="26" spans="2:14" ht="55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2152.2678584729983</v>
      </c>
      <c r="G26" s="24">
        <f t="shared" ref="G26:G29" si="2">$N$23/$N$24*E26</f>
        <v>2173.7905370577287</v>
      </c>
      <c r="H26" s="25">
        <f t="shared" si="0"/>
        <v>-21.522678584730329</v>
      </c>
      <c r="I26" s="26"/>
      <c r="J26" s="26"/>
      <c r="L26" s="17"/>
    </row>
    <row r="27" spans="2:14" ht="29.25" customHeight="1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560.48642147734347</v>
      </c>
      <c r="G27" s="24">
        <f>($N$23/12*2)/$N$24*E27</f>
        <v>566.0912856921168</v>
      </c>
      <c r="H27" s="25">
        <f t="shared" si="0"/>
        <v>-5.604864214773329</v>
      </c>
      <c r="I27" s="26"/>
      <c r="J27" s="26"/>
      <c r="L27" s="17"/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7936.4877281191812</v>
      </c>
      <c r="G28" s="24">
        <f t="shared" si="2"/>
        <v>8015.8526054003742</v>
      </c>
      <c r="H28" s="25">
        <f t="shared" si="0"/>
        <v>-79.364877281193003</v>
      </c>
      <c r="I28" s="26"/>
      <c r="J28" s="26"/>
    </row>
    <row r="29" spans="2:14" ht="147" customHeight="1" x14ac:dyDescent="0.25">
      <c r="B29" s="29" t="s">
        <v>218</v>
      </c>
      <c r="C29" s="32" t="s">
        <v>204</v>
      </c>
      <c r="D29" s="22" t="s">
        <v>201</v>
      </c>
      <c r="E29" s="99">
        <v>5.61</v>
      </c>
      <c r="F29" s="23">
        <f t="shared" si="1"/>
        <v>37731.945893854754</v>
      </c>
      <c r="G29" s="24">
        <f t="shared" si="2"/>
        <v>38109.265352793307</v>
      </c>
      <c r="H29" s="25">
        <f t="shared" si="0"/>
        <v>-377.319458938553</v>
      </c>
      <c r="I29" s="26"/>
      <c r="J29" s="26"/>
      <c r="K29" s="4"/>
      <c r="L29" s="3"/>
      <c r="M29" s="316"/>
      <c r="N29" s="316"/>
    </row>
    <row r="30" spans="2:14" ht="112.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1277.9090409683429</v>
      </c>
      <c r="G30" s="24">
        <f t="shared" ref="G30" si="3">$N$23/$N$24*E30</f>
        <v>1290.6881313780266</v>
      </c>
      <c r="H30" s="25">
        <f t="shared" si="0"/>
        <v>-12.779090409683704</v>
      </c>
      <c r="I30" s="26"/>
      <c r="J30" s="26"/>
    </row>
    <row r="31" spans="2:14" ht="56.25" customHeight="1" x14ac:dyDescent="0.25">
      <c r="B31" s="30" t="s">
        <v>206</v>
      </c>
      <c r="C31" s="8" t="s">
        <v>223</v>
      </c>
      <c r="D31" s="22" t="s">
        <v>201</v>
      </c>
      <c r="E31" s="99">
        <v>5.0999999999999996</v>
      </c>
      <c r="F31" s="23">
        <v>37062.47</v>
      </c>
      <c r="G31" s="6">
        <v>34835</v>
      </c>
      <c r="H31" s="25">
        <f>F31-G31</f>
        <v>2227.4700000000012</v>
      </c>
      <c r="I31" s="26"/>
      <c r="J31" s="26"/>
      <c r="L31" s="17"/>
    </row>
    <row r="32" spans="2:14" ht="16.5" thickBot="1" x14ac:dyDescent="0.3">
      <c r="B32" s="67" t="s">
        <v>186</v>
      </c>
      <c r="C32" s="52" t="s">
        <v>204</v>
      </c>
      <c r="D32" s="53" t="s">
        <v>201</v>
      </c>
      <c r="E32" s="100">
        <f>0.39+0.3</f>
        <v>0.69</v>
      </c>
      <c r="F32" s="23">
        <f t="shared" si="1"/>
        <v>4640.8275698324023</v>
      </c>
      <c r="G32" s="24">
        <f t="shared" ref="G32" si="4">$N$23/$N$24*E32</f>
        <v>4687.2358455307276</v>
      </c>
      <c r="H32" s="33">
        <f>F32-G32</f>
        <v>-46.408275698325269</v>
      </c>
      <c r="I32" s="26"/>
      <c r="J32" s="26"/>
    </row>
    <row r="33" spans="2:14" ht="16.5" thickBot="1" x14ac:dyDescent="0.3">
      <c r="B33" s="66" t="s">
        <v>190</v>
      </c>
      <c r="C33" s="55"/>
      <c r="D33" s="55"/>
      <c r="E33" s="101">
        <f>SUM(E24:E32)</f>
        <v>15.839999999999998</v>
      </c>
      <c r="F33" s="56">
        <f>SUM(F24:F32)</f>
        <v>106495.52789261329</v>
      </c>
      <c r="G33" s="57">
        <f>SUM(G24:G32)</f>
        <v>104962.38847153942</v>
      </c>
      <c r="H33" s="38">
        <f>SUM(H24:H32)</f>
        <v>1533.1394210738576</v>
      </c>
      <c r="I33" s="39"/>
      <c r="J33" s="39"/>
    </row>
    <row r="34" spans="2:14" ht="15.75" x14ac:dyDescent="0.25">
      <c r="B34" s="17"/>
      <c r="C34" s="17"/>
      <c r="D34" s="17"/>
      <c r="E34" s="86"/>
      <c r="F34" s="86"/>
      <c r="G34" s="86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ht="15.75" x14ac:dyDescent="0.25">
      <c r="B37" s="93" t="s">
        <v>15</v>
      </c>
      <c r="C37" s="222">
        <f>E37+G37</f>
        <v>758166.82789261336</v>
      </c>
      <c r="D37" s="223"/>
      <c r="E37" s="224">
        <f>F24+F25+F26+F27+F28+F29+F30+F32+E16</f>
        <v>520745.9478926133</v>
      </c>
      <c r="F37" s="225"/>
      <c r="G37" s="224">
        <f>F31+G16</f>
        <v>237420.88</v>
      </c>
      <c r="H37" s="226"/>
      <c r="I37" s="212"/>
      <c r="J37" s="212"/>
      <c r="K37" s="9"/>
      <c r="L37" s="9"/>
      <c r="M37" s="318"/>
    </row>
    <row r="38" spans="2:14" ht="15.75" x14ac:dyDescent="0.25">
      <c r="B38" s="94" t="s">
        <v>16</v>
      </c>
      <c r="C38" s="220">
        <f>E38+G38</f>
        <v>719106.63</v>
      </c>
      <c r="D38" s="221"/>
      <c r="E38" s="220">
        <f>E17+66645.35</f>
        <v>495160.76</v>
      </c>
      <c r="F38" s="221"/>
      <c r="G38" s="220">
        <f>G17+34194.3</f>
        <v>223945.87</v>
      </c>
      <c r="H38" s="251"/>
      <c r="I38" s="212"/>
      <c r="J38" s="212"/>
      <c r="K38" s="12"/>
      <c r="L38" s="9"/>
      <c r="M38" s="318"/>
    </row>
    <row r="39" spans="2:14" ht="16.5" thickBot="1" x14ac:dyDescent="0.3">
      <c r="B39" s="95" t="s">
        <v>189</v>
      </c>
      <c r="C39" s="227">
        <f>E39+G39</f>
        <v>730320.64047153946</v>
      </c>
      <c r="D39" s="228"/>
      <c r="E39" s="246">
        <f>G24+G25+G26+G27+G28+G29+G30+G32+E18</f>
        <v>525849.64047153946</v>
      </c>
      <c r="F39" s="247"/>
      <c r="G39" s="246">
        <f>G31+G18</f>
        <v>204471</v>
      </c>
      <c r="H39" s="252"/>
      <c r="I39" s="212"/>
      <c r="J39" s="212"/>
      <c r="K39" s="44"/>
      <c r="L39" s="44"/>
    </row>
    <row r="40" spans="2:14" ht="25.5" thickBot="1" x14ac:dyDescent="0.3">
      <c r="B40" s="97" t="s">
        <v>298</v>
      </c>
      <c r="C40" s="216">
        <f>E40+G40</f>
        <v>-11214.010471539455</v>
      </c>
      <c r="D40" s="217"/>
      <c r="E40" s="248">
        <f>E38-E39</f>
        <v>-30688.880471539451</v>
      </c>
      <c r="F40" s="254"/>
      <c r="G40" s="248">
        <f>G38-G39</f>
        <v>19474.869999999995</v>
      </c>
      <c r="H40" s="249"/>
      <c r="I40" s="212"/>
      <c r="J40" s="212"/>
      <c r="K40" s="44"/>
      <c r="L40" s="44"/>
    </row>
    <row r="41" spans="2:14" ht="34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205"/>
      <c r="I41" s="205"/>
      <c r="J41" s="205"/>
      <c r="K41" s="4"/>
      <c r="L41" s="4"/>
      <c r="M41" s="316"/>
      <c r="N41" s="316"/>
    </row>
    <row r="42" spans="2:14" ht="11.25" customHeight="1" x14ac:dyDescent="0.25">
      <c r="B42" s="205"/>
      <c r="C42" s="205"/>
      <c r="D42" s="205"/>
      <c r="E42" s="209"/>
      <c r="F42" s="231"/>
      <c r="G42" s="231"/>
      <c r="H42" s="210"/>
      <c r="I42" s="210"/>
      <c r="J42" s="210"/>
      <c r="K42" s="4"/>
      <c r="L42" s="4"/>
      <c r="M42" s="316"/>
      <c r="N42" s="316"/>
    </row>
    <row r="43" spans="2:14" ht="15.7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205"/>
      <c r="I43" s="205"/>
      <c r="J43" s="205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0"/>
      <c r="G44" s="230"/>
      <c r="H44" s="205"/>
      <c r="I44" s="205"/>
      <c r="J44" s="205"/>
    </row>
    <row r="45" spans="2:14" ht="15.7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205"/>
      <c r="I45" s="205"/>
      <c r="J45" s="205"/>
    </row>
    <row r="46" spans="2:14" ht="8.25" customHeight="1" x14ac:dyDescent="0.25">
      <c r="B46" s="45"/>
      <c r="C46" s="45"/>
      <c r="D46" s="45"/>
      <c r="E46" s="209"/>
      <c r="F46" s="46"/>
      <c r="G46" s="47"/>
      <c r="H46" s="48"/>
      <c r="I46" s="48"/>
      <c r="J46" s="48"/>
    </row>
    <row r="47" spans="2:14" ht="15.7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5"/>
    </row>
    <row r="48" spans="2:14" ht="9.75" customHeight="1" x14ac:dyDescent="0.25">
      <c r="C48" s="86"/>
      <c r="E48" s="209"/>
    </row>
    <row r="49" ht="15.75" x14ac:dyDescent="0.25"/>
    <row r="50" ht="15.75" x14ac:dyDescent="0.25"/>
  </sheetData>
  <mergeCells count="54">
    <mergeCell ref="M21:M22"/>
    <mergeCell ref="N21:N22"/>
    <mergeCell ref="C36:D36"/>
    <mergeCell ref="C37:D37"/>
    <mergeCell ref="C38:D38"/>
    <mergeCell ref="G36:H36"/>
    <mergeCell ref="E37:F37"/>
    <mergeCell ref="G37:H37"/>
    <mergeCell ref="E38:F38"/>
    <mergeCell ref="G38:H38"/>
    <mergeCell ref="B35:H35"/>
    <mergeCell ref="E36:F36"/>
    <mergeCell ref="C15:D15"/>
    <mergeCell ref="C16:D16"/>
    <mergeCell ref="C17:D17"/>
    <mergeCell ref="C18:D18"/>
    <mergeCell ref="C19:D19"/>
    <mergeCell ref="G19:H19"/>
    <mergeCell ref="E16:F16"/>
    <mergeCell ref="G16:H16"/>
    <mergeCell ref="E17:F17"/>
    <mergeCell ref="G17:H17"/>
    <mergeCell ref="E39:F39"/>
    <mergeCell ref="G39:H39"/>
    <mergeCell ref="C39:D39"/>
    <mergeCell ref="E40:F40"/>
    <mergeCell ref="G40:H40"/>
    <mergeCell ref="C40:D40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8:F18"/>
    <mergeCell ref="G18:H18"/>
    <mergeCell ref="E19:F19"/>
    <mergeCell ref="C41:E41"/>
    <mergeCell ref="C43:E43"/>
    <mergeCell ref="C45:E45"/>
    <mergeCell ref="C47:E47"/>
    <mergeCell ref="F42:G42"/>
    <mergeCell ref="F43:G43"/>
    <mergeCell ref="F45:G45"/>
    <mergeCell ref="F47:G47"/>
    <mergeCell ref="F44:G44"/>
    <mergeCell ref="F41:G41"/>
  </mergeCells>
  <printOptions horizontalCentered="1"/>
  <pageMargins left="0.2" right="0.19685039370078741" top="0.15748031496062992" bottom="0.23622047244094491" header="0.2" footer="0.23622047244094491"/>
  <pageSetup paperSize="9" scale="4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52"/>
  <sheetViews>
    <sheetView zoomScale="110" zoomScaleNormal="110" workbookViewId="0">
      <selection activeCell="M1" sqref="M1:N1048576"/>
    </sheetView>
  </sheetViews>
  <sheetFormatPr defaultColWidth="9.140625" defaultRowHeight="18" customHeight="1" outlineLevelRow="1" x14ac:dyDescent="0.25"/>
  <cols>
    <col min="1" max="1" width="2.85546875" style="5" customWidth="1"/>
    <col min="2" max="2" width="57.28515625" style="5" customWidth="1"/>
    <col min="3" max="3" width="22.85546875" style="86" customWidth="1"/>
    <col min="4" max="4" width="9.140625" style="82" customWidth="1"/>
    <col min="5" max="5" width="9.42578125" style="82" customWidth="1"/>
    <col min="6" max="6" width="10.28515625" style="82" customWidth="1"/>
    <col min="7" max="7" width="10.28515625" style="5" customWidth="1"/>
    <col min="8" max="8" width="11" style="82" customWidth="1"/>
    <col min="9" max="9" width="13.7109375" style="5" customWidth="1"/>
    <col min="10" max="10" width="11.28515625" style="5" customWidth="1"/>
    <col min="11" max="11" width="13.85546875" style="5" customWidth="1"/>
    <col min="12" max="12" width="9.140625" style="5"/>
    <col min="13" max="13" width="15.140625" style="310" customWidth="1"/>
    <col min="14" max="14" width="13.85546875" style="310" customWidth="1"/>
    <col min="15" max="15" width="12" style="5" customWidth="1"/>
    <col min="16" max="16384" width="9.140625" style="5"/>
  </cols>
  <sheetData>
    <row r="1" spans="2:9" ht="18" customHeight="1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9" ht="21.75" customHeight="1" x14ac:dyDescent="0.35">
      <c r="B3" s="265"/>
      <c r="C3" s="265"/>
      <c r="D3" s="265"/>
      <c r="E3" s="265"/>
      <c r="F3" s="265"/>
      <c r="G3" s="265"/>
      <c r="H3" s="265"/>
      <c r="I3" s="59"/>
    </row>
    <row r="4" spans="2:9" ht="15" customHeight="1" x14ac:dyDescent="0.25"/>
    <row r="5" spans="2:9" ht="15.75" x14ac:dyDescent="0.25">
      <c r="B5" s="5" t="s">
        <v>0</v>
      </c>
      <c r="D5" s="245" t="s">
        <v>52</v>
      </c>
      <c r="E5" s="245"/>
    </row>
    <row r="6" spans="2:9" ht="15.75" x14ac:dyDescent="0.25">
      <c r="B6" s="5" t="s">
        <v>1</v>
      </c>
      <c r="D6" s="208">
        <v>1961</v>
      </c>
      <c r="E6" s="208"/>
    </row>
    <row r="7" spans="2:9" ht="15.75" hidden="1" outlineLevel="1" x14ac:dyDescent="0.25">
      <c r="B7" s="5" t="s">
        <v>2</v>
      </c>
      <c r="D7" s="208">
        <v>2</v>
      </c>
      <c r="E7" s="208"/>
    </row>
    <row r="8" spans="2:9" ht="15.75" hidden="1" outlineLevel="1" x14ac:dyDescent="0.25">
      <c r="B8" s="5" t="s">
        <v>3</v>
      </c>
      <c r="D8" s="208">
        <v>16</v>
      </c>
      <c r="E8" s="208"/>
    </row>
    <row r="9" spans="2:9" ht="31.5" hidden="1" outlineLevel="1" x14ac:dyDescent="0.25">
      <c r="B9" s="14" t="s">
        <v>4</v>
      </c>
      <c r="C9" s="58"/>
      <c r="D9" s="208" t="s">
        <v>53</v>
      </c>
      <c r="E9" s="208"/>
    </row>
    <row r="10" spans="2:9" ht="15.75" collapsed="1" x14ac:dyDescent="0.25">
      <c r="B10" s="5" t="s">
        <v>5</v>
      </c>
      <c r="D10" s="208" t="s">
        <v>241</v>
      </c>
      <c r="E10" s="208"/>
      <c r="I10" s="17"/>
    </row>
    <row r="11" spans="2:9" ht="15.75" hidden="1" outlineLevel="1" x14ac:dyDescent="0.25">
      <c r="B11" s="5" t="s">
        <v>6</v>
      </c>
      <c r="D11" s="208" t="s">
        <v>13</v>
      </c>
      <c r="E11" s="208"/>
    </row>
    <row r="12" spans="2:9" ht="31.5" hidden="1" customHeight="1" outlineLevel="1" x14ac:dyDescent="0.25">
      <c r="B12" s="14" t="s">
        <v>7</v>
      </c>
      <c r="C12" s="58"/>
      <c r="D12" s="91" t="s">
        <v>54</v>
      </c>
      <c r="E12" s="208"/>
      <c r="I12" s="17"/>
    </row>
    <row r="13" spans="2:9" ht="12" customHeight="1" collapsed="1" x14ac:dyDescent="0.25">
      <c r="B13" s="14"/>
      <c r="C13" s="58"/>
      <c r="D13" s="91"/>
      <c r="E13" s="208"/>
      <c r="I13" s="17"/>
    </row>
    <row r="14" spans="2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9" ht="48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9" ht="15.75" x14ac:dyDescent="0.25">
      <c r="B16" s="93" t="s">
        <v>15</v>
      </c>
      <c r="C16" s="222">
        <v>654171.57999999996</v>
      </c>
      <c r="D16" s="253"/>
      <c r="E16" s="224">
        <v>449946.38</v>
      </c>
      <c r="F16" s="225"/>
      <c r="G16" s="224">
        <v>204225.19999999998</v>
      </c>
      <c r="H16" s="226"/>
      <c r="I16" s="17"/>
    </row>
    <row r="17" spans="2:14" ht="15.75" x14ac:dyDescent="0.25">
      <c r="B17" s="94" t="s">
        <v>16</v>
      </c>
      <c r="C17" s="220">
        <v>601547.39999999991</v>
      </c>
      <c r="D17" s="221"/>
      <c r="E17" s="220">
        <v>413848.06999999995</v>
      </c>
      <c r="F17" s="221"/>
      <c r="G17" s="220">
        <v>187699.33</v>
      </c>
      <c r="H17" s="251"/>
      <c r="I17" s="17"/>
    </row>
    <row r="18" spans="2:14" ht="15.75" x14ac:dyDescent="0.25">
      <c r="B18" s="95" t="s">
        <v>189</v>
      </c>
      <c r="C18" s="220">
        <v>678983.0144000001</v>
      </c>
      <c r="D18" s="221"/>
      <c r="E18" s="246">
        <v>455955.0144000001</v>
      </c>
      <c r="F18" s="247"/>
      <c r="G18" s="246">
        <v>223028</v>
      </c>
      <c r="H18" s="252"/>
      <c r="I18" s="17"/>
    </row>
    <row r="19" spans="2:14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4" ht="28.5" customHeight="1" thickBot="1" x14ac:dyDescent="0.3">
      <c r="B20" s="97" t="s">
        <v>297</v>
      </c>
      <c r="C20" s="216">
        <f>E20+G20</f>
        <v>-66635.614400000166</v>
      </c>
      <c r="D20" s="217"/>
      <c r="E20" s="248">
        <f>E17+E19-E18</f>
        <v>-31306.944400000153</v>
      </c>
      <c r="F20" s="254"/>
      <c r="G20" s="248">
        <f>G17-G18</f>
        <v>-35328.670000000013</v>
      </c>
      <c r="H20" s="249"/>
      <c r="I20" s="17"/>
    </row>
    <row r="21" spans="2:14" ht="11.25" customHeight="1" x14ac:dyDescent="0.25">
      <c r="B21" s="14"/>
      <c r="C21" s="64"/>
      <c r="D21" s="91"/>
      <c r="E21" s="208"/>
      <c r="I21" s="17"/>
    </row>
    <row r="22" spans="2:14" ht="32.2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I22" s="16"/>
      <c r="J22" s="16"/>
      <c r="L22" s="17"/>
      <c r="M22" s="312" t="s">
        <v>301</v>
      </c>
      <c r="N22" s="312" t="s">
        <v>302</v>
      </c>
    </row>
    <row r="23" spans="2:14" ht="35.25" customHeight="1" x14ac:dyDescent="0.25">
      <c r="B23" s="235" t="s">
        <v>196</v>
      </c>
      <c r="C23" s="237" t="s">
        <v>197</v>
      </c>
      <c r="D23" s="237" t="s">
        <v>198</v>
      </c>
      <c r="E23" s="239" t="s">
        <v>325</v>
      </c>
      <c r="F23" s="241" t="s">
        <v>199</v>
      </c>
      <c r="G23" s="242"/>
      <c r="H23" s="243" t="s">
        <v>227</v>
      </c>
      <c r="I23" s="18"/>
      <c r="J23" s="18"/>
      <c r="L23" s="17"/>
      <c r="M23" s="313"/>
      <c r="N23" s="313"/>
    </row>
    <row r="24" spans="2:14" ht="45" customHeight="1" thickBot="1" x14ac:dyDescent="0.3">
      <c r="B24" s="236"/>
      <c r="C24" s="238"/>
      <c r="D24" s="238"/>
      <c r="E24" s="240"/>
      <c r="F24" s="19" t="s">
        <v>187</v>
      </c>
      <c r="G24" s="20" t="s">
        <v>188</v>
      </c>
      <c r="H24" s="244"/>
      <c r="I24" s="18"/>
      <c r="J24" s="18"/>
      <c r="M24" s="314">
        <v>61311.13</v>
      </c>
      <c r="N24" s="314">
        <f>M24*1.01</f>
        <v>61924.241300000002</v>
      </c>
    </row>
    <row r="25" spans="2:14" ht="50.25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7504.5955889145507</v>
      </c>
      <c r="G25" s="24">
        <f>$N$24/$N$25*E25</f>
        <v>7579.6415448036978</v>
      </c>
      <c r="H25" s="25">
        <f>F25-G25</f>
        <v>-75.045955889147081</v>
      </c>
      <c r="I25" s="26"/>
      <c r="J25" s="26"/>
      <c r="K25" s="27"/>
      <c r="L25" s="28"/>
      <c r="M25" s="315">
        <f>E34-E32</f>
        <v>8.6599999999999984</v>
      </c>
      <c r="N25" s="315">
        <f>E34-E32</f>
        <v>8.6599999999999984</v>
      </c>
    </row>
    <row r="26" spans="2:14" ht="51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8424.9705196304858</v>
      </c>
      <c r="G26" s="24">
        <f>$N$24/$N$25*E26</f>
        <v>8509.2202248267913</v>
      </c>
      <c r="H26" s="25">
        <f t="shared" ref="H26:H31" si="0">F26-G26</f>
        <v>-84.249705196305513</v>
      </c>
      <c r="I26" s="26"/>
      <c r="J26" s="26"/>
      <c r="K26" s="4"/>
      <c r="L26" s="4"/>
      <c r="M26" s="316"/>
      <c r="N26" s="316"/>
    </row>
    <row r="27" spans="2:14" ht="55.5" customHeight="1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2265.5382909930718</v>
      </c>
      <c r="G27" s="24">
        <f t="shared" ref="G27:G30" si="2">$N$24/$N$25*E27</f>
        <v>2288.1936739030029</v>
      </c>
      <c r="H27" s="25">
        <f t="shared" si="0"/>
        <v>-22.655382909931177</v>
      </c>
      <c r="I27" s="26"/>
      <c r="J27" s="26"/>
      <c r="L27" s="17"/>
    </row>
    <row r="28" spans="2:14" ht="29.25" customHeight="1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589.98392994611243</v>
      </c>
      <c r="G28" s="24">
        <f>($N$24/12*2)/$N$25*E28</f>
        <v>595.88376924557372</v>
      </c>
      <c r="H28" s="25">
        <f t="shared" si="0"/>
        <v>-5.8998392994612914</v>
      </c>
      <c r="I28" s="26"/>
      <c r="J28" s="26"/>
      <c r="L28" s="17"/>
    </row>
    <row r="29" spans="2:14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8354.1724480369521</v>
      </c>
      <c r="G29" s="24">
        <f t="shared" si="2"/>
        <v>8437.7141725173224</v>
      </c>
      <c r="H29" s="25">
        <f t="shared" si="0"/>
        <v>-83.541724480370249</v>
      </c>
      <c r="I29" s="26"/>
      <c r="J29" s="26"/>
    </row>
    <row r="30" spans="2:14" ht="154.5" customHeight="1" x14ac:dyDescent="0.25">
      <c r="B30" s="29" t="s">
        <v>218</v>
      </c>
      <c r="C30" s="32" t="s">
        <v>204</v>
      </c>
      <c r="D30" s="22" t="s">
        <v>201</v>
      </c>
      <c r="E30" s="99">
        <f>5.61-1.5</f>
        <v>4.1100000000000003</v>
      </c>
      <c r="F30" s="23">
        <f t="shared" si="1"/>
        <v>29098.007424942269</v>
      </c>
      <c r="G30" s="24">
        <f t="shared" si="2"/>
        <v>29388.987499191695</v>
      </c>
      <c r="H30" s="25">
        <f t="shared" si="0"/>
        <v>-290.98007424942625</v>
      </c>
      <c r="I30" s="26"/>
      <c r="J30" s="26"/>
      <c r="K30" s="4"/>
      <c r="L30" s="3"/>
      <c r="M30" s="316"/>
      <c r="N30" s="316"/>
    </row>
    <row r="31" spans="2:14" ht="106.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1345.1633602771365</v>
      </c>
      <c r="G31" s="24">
        <f t="shared" ref="G31" si="3">$N$24/$N$25*E31</f>
        <v>1358.6149938799081</v>
      </c>
      <c r="H31" s="25">
        <f t="shared" si="0"/>
        <v>-13.451633602771608</v>
      </c>
      <c r="I31" s="26"/>
      <c r="J31" s="26"/>
    </row>
    <row r="32" spans="2:14" ht="56.25" customHeight="1" x14ac:dyDescent="0.25">
      <c r="B32" s="30" t="s">
        <v>206</v>
      </c>
      <c r="C32" s="8" t="s">
        <v>223</v>
      </c>
      <c r="D32" s="22" t="s">
        <v>201</v>
      </c>
      <c r="E32" s="99">
        <v>5.0999999999999996</v>
      </c>
      <c r="F32" s="23">
        <v>39580.61</v>
      </c>
      <c r="G32" s="6">
        <v>9588</v>
      </c>
      <c r="H32" s="25">
        <f>F32-G32</f>
        <v>29992.61</v>
      </c>
      <c r="I32" s="26"/>
      <c r="J32" s="26"/>
      <c r="L32" s="17"/>
    </row>
    <row r="33" spans="2:14" ht="16.5" thickBot="1" x14ac:dyDescent="0.3">
      <c r="B33" s="67" t="s">
        <v>186</v>
      </c>
      <c r="C33" s="52" t="s">
        <v>204</v>
      </c>
      <c r="D33" s="53" t="s">
        <v>201</v>
      </c>
      <c r="E33" s="100">
        <v>0.11</v>
      </c>
      <c r="F33" s="23">
        <f t="shared" si="1"/>
        <v>778.77878752886841</v>
      </c>
      <c r="G33" s="24">
        <f t="shared" ref="G33" si="4">$N$24/$N$25*E33</f>
        <v>786.56657540415722</v>
      </c>
      <c r="H33" s="33">
        <f>F33-G33</f>
        <v>-7.7877878752888137</v>
      </c>
      <c r="I33" s="26"/>
      <c r="J33" s="26"/>
    </row>
    <row r="34" spans="2:14" ht="16.5" thickBot="1" x14ac:dyDescent="0.3">
      <c r="B34" s="66" t="s">
        <v>190</v>
      </c>
      <c r="C34" s="55"/>
      <c r="D34" s="55"/>
      <c r="E34" s="101">
        <f>SUM(E25:E33)</f>
        <v>13.759999999999998</v>
      </c>
      <c r="F34" s="56">
        <f>SUM(F25:F33)</f>
        <v>97941.820350269438</v>
      </c>
      <c r="G34" s="57">
        <f>SUM(G25:G33)</f>
        <v>68532.82245377214</v>
      </c>
      <c r="H34" s="38">
        <f>SUM(H25:H33)</f>
        <v>29408.997896497298</v>
      </c>
      <c r="I34" s="39"/>
      <c r="J34" s="39"/>
    </row>
    <row r="35" spans="2:14" ht="15.75" x14ac:dyDescent="0.25">
      <c r="B35" s="17"/>
      <c r="C35" s="17"/>
      <c r="D35" s="17"/>
      <c r="E35" s="86"/>
      <c r="F35" s="86"/>
      <c r="G35" s="86"/>
      <c r="I35" s="82"/>
      <c r="J35" s="82"/>
    </row>
    <row r="36" spans="2:14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40"/>
      <c r="J36" s="40"/>
    </row>
    <row r="37" spans="2:14" ht="44.2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41"/>
      <c r="J37" s="41"/>
      <c r="K37" s="42"/>
      <c r="L37" s="43"/>
      <c r="M37" s="317"/>
      <c r="N37" s="317"/>
    </row>
    <row r="38" spans="2:14" ht="15.75" x14ac:dyDescent="0.25">
      <c r="B38" s="93" t="s">
        <v>15</v>
      </c>
      <c r="C38" s="222">
        <f>E38+G38</f>
        <v>752113.4003502694</v>
      </c>
      <c r="D38" s="223"/>
      <c r="E38" s="224">
        <f>F25+F26+F27+F28+F29+F30+F31+F33+E16</f>
        <v>508307.59035026946</v>
      </c>
      <c r="F38" s="225"/>
      <c r="G38" s="224">
        <f>F32+G16</f>
        <v>243805.81</v>
      </c>
      <c r="H38" s="226"/>
      <c r="I38" s="212"/>
      <c r="J38" s="212"/>
      <c r="K38" s="9"/>
      <c r="L38" s="9"/>
      <c r="M38" s="318"/>
    </row>
    <row r="39" spans="2:14" ht="15.75" x14ac:dyDescent="0.25">
      <c r="B39" s="94" t="s">
        <v>16</v>
      </c>
      <c r="C39" s="220">
        <f>E39+G39</f>
        <v>723625.15999999992</v>
      </c>
      <c r="D39" s="221"/>
      <c r="E39" s="220">
        <f>E17+74185.72</f>
        <v>488033.78999999992</v>
      </c>
      <c r="F39" s="221"/>
      <c r="G39" s="220">
        <f>G17+47892.04</f>
        <v>235591.37</v>
      </c>
      <c r="H39" s="251"/>
      <c r="I39" s="212"/>
      <c r="J39" s="212"/>
      <c r="K39" s="12"/>
      <c r="L39" s="9"/>
      <c r="M39" s="318"/>
    </row>
    <row r="40" spans="2:14" ht="15.75" x14ac:dyDescent="0.25">
      <c r="B40" s="95" t="s">
        <v>189</v>
      </c>
      <c r="C40" s="220">
        <f>E40+G40</f>
        <v>747515.83685377217</v>
      </c>
      <c r="D40" s="221"/>
      <c r="E40" s="246">
        <f>G25+G26+G27+G28+G29+G30+G31+G33+E18</f>
        <v>514899.83685377223</v>
      </c>
      <c r="F40" s="247"/>
      <c r="G40" s="246">
        <f>G32+G18</f>
        <v>232616</v>
      </c>
      <c r="H40" s="252"/>
      <c r="I40" s="212"/>
      <c r="J40" s="212"/>
      <c r="K40" s="44"/>
      <c r="L40" s="44"/>
    </row>
    <row r="41" spans="2:14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212"/>
      <c r="J41" s="212"/>
      <c r="K41" s="44"/>
      <c r="L41" s="44"/>
    </row>
    <row r="42" spans="2:14" ht="36.75" customHeight="1" thickBot="1" x14ac:dyDescent="0.3">
      <c r="B42" s="97" t="s">
        <v>298</v>
      </c>
      <c r="C42" s="216">
        <f>E42+G42</f>
        <v>-9490.676853772311</v>
      </c>
      <c r="D42" s="217"/>
      <c r="E42" s="248">
        <f>E39+E41-E40</f>
        <v>-12466.046853772306</v>
      </c>
      <c r="F42" s="254"/>
      <c r="G42" s="248">
        <f>G39-G40</f>
        <v>2975.3699999999953</v>
      </c>
      <c r="H42" s="249"/>
      <c r="I42" s="212"/>
      <c r="J42" s="212"/>
      <c r="K42" s="44"/>
      <c r="L42" s="44"/>
    </row>
    <row r="43" spans="2:14" ht="34.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205"/>
      <c r="I43" s="205"/>
      <c r="J43" s="205"/>
      <c r="K43" s="4"/>
      <c r="L43" s="4"/>
      <c r="M43" s="316"/>
      <c r="N43" s="316"/>
    </row>
    <row r="44" spans="2:14" ht="11.25" customHeight="1" x14ac:dyDescent="0.25">
      <c r="B44" s="205"/>
      <c r="C44" s="205"/>
      <c r="D44" s="205"/>
      <c r="E44" s="209"/>
      <c r="F44" s="231"/>
      <c r="G44" s="231"/>
      <c r="H44" s="210"/>
      <c r="I44" s="210"/>
      <c r="J44" s="210"/>
      <c r="K44" s="4"/>
      <c r="L44" s="4"/>
      <c r="M44" s="316"/>
      <c r="N44" s="316"/>
    </row>
    <row r="45" spans="2:14" ht="15.75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205"/>
      <c r="I45" s="205"/>
      <c r="J45" s="205"/>
      <c r="K45" s="4"/>
      <c r="L45" s="4"/>
      <c r="M45" s="316"/>
      <c r="N45" s="316"/>
    </row>
    <row r="46" spans="2:14" ht="9.75" customHeight="1" x14ac:dyDescent="0.25">
      <c r="B46" s="205"/>
      <c r="C46" s="205"/>
      <c r="D46" s="205"/>
      <c r="E46" s="209"/>
      <c r="F46" s="230"/>
      <c r="G46" s="230"/>
      <c r="H46" s="205"/>
      <c r="I46" s="205"/>
      <c r="J46" s="205"/>
    </row>
    <row r="47" spans="2:14" ht="15.75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205"/>
      <c r="I47" s="205"/>
      <c r="J47" s="205"/>
    </row>
    <row r="48" spans="2:14" ht="8.25" customHeight="1" x14ac:dyDescent="0.25">
      <c r="B48" s="45"/>
      <c r="C48" s="45"/>
      <c r="D48" s="45"/>
      <c r="E48" s="209"/>
      <c r="F48" s="46"/>
      <c r="G48" s="47"/>
      <c r="H48" s="48"/>
      <c r="I48" s="48"/>
      <c r="J48" s="48"/>
    </row>
    <row r="49" spans="2:8" ht="15.75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5"/>
    </row>
    <row r="50" spans="2:8" ht="10.5" customHeight="1" x14ac:dyDescent="0.25">
      <c r="E50" s="209"/>
    </row>
    <row r="51" spans="2:8" ht="15.75" x14ac:dyDescent="0.25">
      <c r="C51" s="63"/>
    </row>
    <row r="52" spans="2:8" ht="15.75" x14ac:dyDescent="0.25">
      <c r="C52" s="63"/>
    </row>
  </sheetData>
  <mergeCells count="60">
    <mergeCell ref="C40:D40"/>
    <mergeCell ref="C41:D41"/>
    <mergeCell ref="C42:D42"/>
    <mergeCell ref="M22:M23"/>
    <mergeCell ref="N22:N23"/>
    <mergeCell ref="C37:D37"/>
    <mergeCell ref="C38:D38"/>
    <mergeCell ref="C39:D39"/>
    <mergeCell ref="B36:H36"/>
    <mergeCell ref="E37:F37"/>
    <mergeCell ref="G37:H37"/>
    <mergeCell ref="E38:F38"/>
    <mergeCell ref="G38:H38"/>
    <mergeCell ref="E42:F42"/>
    <mergeCell ref="G42:H42"/>
    <mergeCell ref="C15:D15"/>
    <mergeCell ref="C16:D16"/>
    <mergeCell ref="C17:D17"/>
    <mergeCell ref="C18:D18"/>
    <mergeCell ref="C19:D19"/>
    <mergeCell ref="E17:F17"/>
    <mergeCell ref="G17:H17"/>
    <mergeCell ref="E20:F20"/>
    <mergeCell ref="G20:H20"/>
    <mergeCell ref="E18:F18"/>
    <mergeCell ref="G18:H18"/>
    <mergeCell ref="E19:F19"/>
    <mergeCell ref="G19:H19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C20:D20"/>
    <mergeCell ref="E16:F16"/>
    <mergeCell ref="G16:H16"/>
    <mergeCell ref="C45:E45"/>
    <mergeCell ref="C47:E47"/>
    <mergeCell ref="C49:E49"/>
    <mergeCell ref="F43:G43"/>
    <mergeCell ref="E39:F39"/>
    <mergeCell ref="G39:H39"/>
    <mergeCell ref="E40:F40"/>
    <mergeCell ref="G40:H40"/>
    <mergeCell ref="E41:F41"/>
    <mergeCell ref="G41:H41"/>
    <mergeCell ref="C43:E43"/>
    <mergeCell ref="F44:G44"/>
    <mergeCell ref="F45:G45"/>
    <mergeCell ref="F46:G46"/>
    <mergeCell ref="F47:G47"/>
    <mergeCell ref="F49:G49"/>
  </mergeCells>
  <printOptions horizontalCentered="1"/>
  <pageMargins left="0.19685039370078741" right="0.19685039370078741" top="0.15748031496062992" bottom="0.23622047244094491" header="0.31496062992125984" footer="0.23622047244094491"/>
  <pageSetup paperSize="9" scale="4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48"/>
  <sheetViews>
    <sheetView topLeftCell="A16" zoomScale="110" zoomScaleNormal="110" workbookViewId="0">
      <selection activeCell="M28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7" style="5" customWidth="1"/>
    <col min="3" max="3" width="19.28515625" style="86" customWidth="1"/>
    <col min="4" max="4" width="8.85546875" style="82" customWidth="1"/>
    <col min="5" max="5" width="10.140625" style="82" customWidth="1"/>
    <col min="6" max="6" width="10.140625" style="5" customWidth="1"/>
    <col min="7" max="7" width="10.42578125" style="5" customWidth="1"/>
    <col min="8" max="8" width="10.85546875" style="82" customWidth="1"/>
    <col min="9" max="9" width="13.28515625" style="5" customWidth="1"/>
    <col min="10" max="10" width="9.5703125" style="5" bestFit="1" customWidth="1"/>
    <col min="11" max="12" width="9.140625" style="5"/>
    <col min="13" max="13" width="14.42578125" style="310" customWidth="1"/>
    <col min="14" max="14" width="15" style="310" customWidth="1"/>
    <col min="15" max="15" width="12.42578125" style="5" customWidth="1"/>
    <col min="16" max="16384" width="9.140625" style="5"/>
  </cols>
  <sheetData>
    <row r="1" spans="2:9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9" ht="25.5" customHeight="1" x14ac:dyDescent="0.35">
      <c r="B3" s="265"/>
      <c r="C3" s="265"/>
      <c r="D3" s="265"/>
      <c r="E3" s="265"/>
      <c r="F3" s="265"/>
      <c r="G3" s="265"/>
      <c r="H3" s="265"/>
      <c r="I3" s="59"/>
    </row>
    <row r="4" spans="2:9" ht="17.25" customHeight="1" x14ac:dyDescent="0.25"/>
    <row r="5" spans="2:9" x14ac:dyDescent="0.25">
      <c r="B5" s="5" t="s">
        <v>0</v>
      </c>
      <c r="D5" s="245" t="s">
        <v>55</v>
      </c>
      <c r="E5" s="245"/>
    </row>
    <row r="6" spans="2:9" x14ac:dyDescent="0.25">
      <c r="B6" s="5" t="s">
        <v>1</v>
      </c>
      <c r="D6" s="208">
        <v>1960</v>
      </c>
      <c r="E6" s="208"/>
    </row>
    <row r="7" spans="2:9" hidden="1" outlineLevel="1" x14ac:dyDescent="0.25">
      <c r="B7" s="5" t="s">
        <v>2</v>
      </c>
      <c r="D7" s="208">
        <v>2</v>
      </c>
      <c r="E7" s="208"/>
    </row>
    <row r="8" spans="2:9" hidden="1" outlineLevel="1" x14ac:dyDescent="0.25">
      <c r="B8" s="5" t="s">
        <v>3</v>
      </c>
      <c r="D8" s="208">
        <v>8</v>
      </c>
      <c r="E8" s="208"/>
    </row>
    <row r="9" spans="2:9" ht="30.75" hidden="1" customHeight="1" outlineLevel="1" x14ac:dyDescent="0.25">
      <c r="B9" s="14" t="s">
        <v>4</v>
      </c>
      <c r="C9" s="58"/>
      <c r="D9" s="208" t="s">
        <v>56</v>
      </c>
      <c r="E9" s="208"/>
    </row>
    <row r="10" spans="2:9" collapsed="1" x14ac:dyDescent="0.25">
      <c r="B10" s="5" t="s">
        <v>5</v>
      </c>
      <c r="D10" s="208" t="s">
        <v>242</v>
      </c>
      <c r="E10" s="208"/>
      <c r="I10" s="17"/>
    </row>
    <row r="11" spans="2:9" hidden="1" outlineLevel="1" x14ac:dyDescent="0.25">
      <c r="D11" s="208"/>
      <c r="E11" s="208"/>
    </row>
    <row r="12" spans="2:9" hidden="1" outlineLevel="1" x14ac:dyDescent="0.25">
      <c r="D12" s="208"/>
      <c r="E12" s="208"/>
    </row>
    <row r="13" spans="2:9" collapsed="1" x14ac:dyDescent="0.25">
      <c r="D13" s="208"/>
      <c r="E13" s="208"/>
    </row>
    <row r="14" spans="2:9" ht="16.5" thickBot="1" x14ac:dyDescent="0.3">
      <c r="B14" s="260" t="s">
        <v>313</v>
      </c>
      <c r="C14" s="260"/>
      <c r="D14" s="260"/>
      <c r="E14" s="260"/>
      <c r="F14" s="260"/>
      <c r="G14" s="260"/>
      <c r="H14" s="260"/>
    </row>
    <row r="15" spans="2:9" ht="48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</row>
    <row r="16" spans="2:9" x14ac:dyDescent="0.25">
      <c r="B16" s="93" t="s">
        <v>15</v>
      </c>
      <c r="C16" s="222">
        <v>391090.38</v>
      </c>
      <c r="D16" s="253"/>
      <c r="E16" s="224">
        <v>269995.28000000003</v>
      </c>
      <c r="F16" s="225"/>
      <c r="G16" s="224">
        <v>121095.09999999999</v>
      </c>
      <c r="H16" s="226"/>
    </row>
    <row r="17" spans="2:14" x14ac:dyDescent="0.25">
      <c r="B17" s="94" t="s">
        <v>16</v>
      </c>
      <c r="C17" s="220">
        <v>378158.38999999996</v>
      </c>
      <c r="D17" s="221"/>
      <c r="E17" s="220">
        <v>260186.96999999997</v>
      </c>
      <c r="F17" s="221"/>
      <c r="G17" s="220">
        <v>117971.42</v>
      </c>
      <c r="H17" s="251"/>
    </row>
    <row r="18" spans="2:14" ht="16.5" thickBot="1" x14ac:dyDescent="0.3">
      <c r="B18" s="95" t="s">
        <v>189</v>
      </c>
      <c r="C18" s="220">
        <v>344262.05</v>
      </c>
      <c r="D18" s="221"/>
      <c r="E18" s="246">
        <v>269448.05</v>
      </c>
      <c r="F18" s="247"/>
      <c r="G18" s="246">
        <v>74814</v>
      </c>
      <c r="H18" s="252"/>
    </row>
    <row r="19" spans="2:14" ht="36.75" thickBot="1" x14ac:dyDescent="0.3">
      <c r="B19" s="97" t="s">
        <v>297</v>
      </c>
      <c r="C19" s="216">
        <f>E19+G19</f>
        <v>33896.339999999982</v>
      </c>
      <c r="D19" s="217"/>
      <c r="E19" s="248">
        <f>E17-E18</f>
        <v>-9261.0800000000163</v>
      </c>
      <c r="F19" s="254"/>
      <c r="G19" s="248">
        <f>G17-G18</f>
        <v>43157.42</v>
      </c>
      <c r="H19" s="249"/>
    </row>
    <row r="20" spans="2:14" x14ac:dyDescent="0.25">
      <c r="B20" s="14"/>
      <c r="C20" s="64"/>
      <c r="D20" s="91"/>
      <c r="E20" s="208"/>
      <c r="F20" s="82"/>
    </row>
    <row r="21" spans="2:14" ht="19.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35.2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4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33673.129999999997</v>
      </c>
      <c r="N23" s="314">
        <f>M23*1.01</f>
        <v>34009.861299999997</v>
      </c>
    </row>
    <row r="24" spans="2:14" ht="61.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 t="shared" ref="F24:F29" si="0">$M$23/$M$24*E24</f>
        <v>3485.6950976562507</v>
      </c>
      <c r="G24" s="24">
        <f t="shared" ref="G24:G29" si="1">$N$23/$N$24*E24</f>
        <v>3520.5520486328132</v>
      </c>
      <c r="H24" s="25">
        <f>F24-G24</f>
        <v>-34.85695097656253</v>
      </c>
      <c r="I24" s="26"/>
      <c r="J24" s="26"/>
      <c r="K24" s="27"/>
      <c r="L24" s="28"/>
      <c r="M24" s="315">
        <f>E33-E31</f>
        <v>10.239999999999998</v>
      </c>
      <c r="N24" s="315">
        <f>E33-E31</f>
        <v>10.239999999999998</v>
      </c>
    </row>
    <row r="25" spans="2:14" ht="62.25" customHeight="1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 t="shared" si="0"/>
        <v>3913.1860058593752</v>
      </c>
      <c r="G25" s="24">
        <f t="shared" si="1"/>
        <v>3952.3178659179689</v>
      </c>
      <c r="H25" s="25">
        <f t="shared" ref="H25:H30" si="2">F25-G25</f>
        <v>-39.131860058593702</v>
      </c>
      <c r="I25" s="26"/>
      <c r="J25" s="26"/>
      <c r="K25" s="4"/>
      <c r="L25" s="4"/>
      <c r="M25" s="316"/>
      <c r="N25" s="316"/>
    </row>
    <row r="26" spans="2:14" ht="66.7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si="0"/>
        <v>1052.2853125000001</v>
      </c>
      <c r="G26" s="24">
        <f t="shared" si="1"/>
        <v>1062.8081656250001</v>
      </c>
      <c r="H26" s="25">
        <f t="shared" si="2"/>
        <v>-10.522853124999983</v>
      </c>
      <c r="I26" s="26"/>
      <c r="J26" s="26"/>
      <c r="L26" s="17"/>
    </row>
    <row r="27" spans="2:14" ht="29.25" customHeight="1" x14ac:dyDescent="0.25">
      <c r="B27" s="30" t="s">
        <v>185</v>
      </c>
      <c r="C27" s="31" t="s">
        <v>203</v>
      </c>
      <c r="D27" s="22" t="s">
        <v>201</v>
      </c>
      <c r="E27" s="99">
        <v>0</v>
      </c>
      <c r="F27" s="23">
        <f t="shared" si="0"/>
        <v>0</v>
      </c>
      <c r="G27" s="24">
        <f t="shared" si="1"/>
        <v>0</v>
      </c>
      <c r="H27" s="25">
        <f t="shared" si="2"/>
        <v>0</v>
      </c>
      <c r="I27" s="26"/>
      <c r="J27" s="26"/>
      <c r="L27" s="17"/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0"/>
        <v>3880.3020898437503</v>
      </c>
      <c r="G28" s="24">
        <f t="shared" si="1"/>
        <v>3919.1051107421877</v>
      </c>
      <c r="H28" s="25">
        <f t="shared" si="2"/>
        <v>-38.803020898437353</v>
      </c>
      <c r="I28" s="26"/>
      <c r="J28" s="26"/>
    </row>
    <row r="29" spans="2:14" ht="154.5" customHeight="1" x14ac:dyDescent="0.25">
      <c r="B29" s="29" t="s">
        <v>218</v>
      </c>
      <c r="C29" s="32" t="s">
        <v>204</v>
      </c>
      <c r="D29" s="22" t="s">
        <v>201</v>
      </c>
      <c r="E29" s="99">
        <v>5.61</v>
      </c>
      <c r="F29" s="23">
        <f t="shared" si="0"/>
        <v>18447.876884765628</v>
      </c>
      <c r="G29" s="24">
        <f t="shared" si="1"/>
        <v>18632.355653613286</v>
      </c>
      <c r="H29" s="25">
        <f t="shared" si="2"/>
        <v>-184.47876884765719</v>
      </c>
      <c r="I29" s="26"/>
      <c r="J29" s="26"/>
      <c r="K29" s="4"/>
      <c r="L29" s="3"/>
      <c r="M29" s="316"/>
      <c r="N29" s="316"/>
    </row>
    <row r="30" spans="2:14" ht="106.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>$M$23/$M$24*E30</f>
        <v>624.79440429687509</v>
      </c>
      <c r="G30" s="24">
        <f>$N$23/$N$24*E30</f>
        <v>631.04234833984378</v>
      </c>
      <c r="H30" s="25">
        <f t="shared" si="2"/>
        <v>-6.2479440429686974</v>
      </c>
      <c r="I30" s="26"/>
      <c r="J30" s="26"/>
    </row>
    <row r="31" spans="2:14" ht="63" customHeight="1" x14ac:dyDescent="0.25">
      <c r="B31" s="30" t="s">
        <v>206</v>
      </c>
      <c r="C31" s="8" t="s">
        <v>223</v>
      </c>
      <c r="D31" s="22" t="s">
        <v>201</v>
      </c>
      <c r="E31" s="99">
        <v>5.16</v>
      </c>
      <c r="F31" s="23">
        <v>17480.21</v>
      </c>
      <c r="G31" s="6">
        <v>32499</v>
      </c>
      <c r="H31" s="25">
        <f>F31-G31</f>
        <v>-15018.79</v>
      </c>
      <c r="I31" s="26"/>
      <c r="J31" s="26"/>
      <c r="L31" s="17"/>
    </row>
    <row r="32" spans="2:14" ht="16.5" thickBot="1" x14ac:dyDescent="0.3">
      <c r="B32" s="67" t="s">
        <v>186</v>
      </c>
      <c r="C32" s="52" t="s">
        <v>204</v>
      </c>
      <c r="D32" s="53" t="s">
        <v>201</v>
      </c>
      <c r="E32" s="100">
        <v>0.69</v>
      </c>
      <c r="F32" s="23">
        <f>$M$23/$M$24*E32</f>
        <v>2268.9902050781252</v>
      </c>
      <c r="G32" s="24">
        <f>$N$23/$N$24*E32</f>
        <v>2291.6801071289065</v>
      </c>
      <c r="H32" s="33">
        <f>F32-G32</f>
        <v>-22.689902050781257</v>
      </c>
      <c r="I32" s="26"/>
      <c r="J32" s="26"/>
    </row>
    <row r="33" spans="2:14" ht="16.5" thickBot="1" x14ac:dyDescent="0.3">
      <c r="B33" s="66" t="s">
        <v>190</v>
      </c>
      <c r="C33" s="55"/>
      <c r="D33" s="55"/>
      <c r="E33" s="101">
        <f>SUM(E24:E32)</f>
        <v>15.399999999999999</v>
      </c>
      <c r="F33" s="56">
        <f>SUM(F24:F32)</f>
        <v>51153.34</v>
      </c>
      <c r="G33" s="57">
        <f>SUM(G24:G32)</f>
        <v>66508.861300000004</v>
      </c>
      <c r="H33" s="38">
        <f>SUM(H24:H32)</f>
        <v>-15355.5213</v>
      </c>
      <c r="I33" s="39"/>
      <c r="J33" s="39"/>
    </row>
    <row r="34" spans="2:14" x14ac:dyDescent="0.25">
      <c r="B34" s="17"/>
      <c r="C34" s="17"/>
      <c r="D34" s="17"/>
      <c r="E34" s="86"/>
      <c r="F34" s="86"/>
      <c r="G34" s="86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x14ac:dyDescent="0.25">
      <c r="B37" s="93" t="s">
        <v>15</v>
      </c>
      <c r="C37" s="222">
        <f>E37+G37</f>
        <v>442243.72000000003</v>
      </c>
      <c r="D37" s="223"/>
      <c r="E37" s="224">
        <f>F24+F25+F26+F27+F28+F29+F30+F32+E16</f>
        <v>303668.41000000003</v>
      </c>
      <c r="F37" s="225"/>
      <c r="G37" s="224">
        <f>F31+G16</f>
        <v>138575.31</v>
      </c>
      <c r="H37" s="226"/>
      <c r="I37" s="212"/>
      <c r="J37" s="212"/>
      <c r="K37" s="9"/>
      <c r="L37" s="9"/>
      <c r="M37" s="318"/>
    </row>
    <row r="38" spans="2:14" x14ac:dyDescent="0.25">
      <c r="B38" s="94" t="s">
        <v>16</v>
      </c>
      <c r="C38" s="220">
        <f>E38+G38</f>
        <v>472189.74999999994</v>
      </c>
      <c r="D38" s="221"/>
      <c r="E38" s="220">
        <f>E17+61898.79</f>
        <v>322085.75999999995</v>
      </c>
      <c r="F38" s="221"/>
      <c r="G38" s="220">
        <f>G17+32132.57</f>
        <v>150103.99</v>
      </c>
      <c r="H38" s="251"/>
      <c r="I38" s="212"/>
      <c r="J38" s="212"/>
      <c r="K38" s="12"/>
      <c r="L38" s="9"/>
      <c r="M38" s="318"/>
    </row>
    <row r="39" spans="2:14" ht="16.5" thickBot="1" x14ac:dyDescent="0.3">
      <c r="B39" s="95" t="s">
        <v>189</v>
      </c>
      <c r="C39" s="227">
        <f>E39+G39</f>
        <v>410770.91129999998</v>
      </c>
      <c r="D39" s="228"/>
      <c r="E39" s="246">
        <f>G24+G25+G26+G27+G28+G29+G30+G32+E18</f>
        <v>303457.91129999998</v>
      </c>
      <c r="F39" s="247"/>
      <c r="G39" s="246">
        <f>G31+G18</f>
        <v>107313</v>
      </c>
      <c r="H39" s="252"/>
      <c r="I39" s="212"/>
      <c r="J39" s="212"/>
      <c r="K39" s="44"/>
      <c r="L39" s="44"/>
    </row>
    <row r="40" spans="2:14" ht="31.5" customHeight="1" thickBot="1" x14ac:dyDescent="0.3">
      <c r="B40" s="97" t="s">
        <v>298</v>
      </c>
      <c r="C40" s="216">
        <f>E40+G40</f>
        <v>61418.838699999964</v>
      </c>
      <c r="D40" s="217"/>
      <c r="E40" s="248">
        <f>E38-E39</f>
        <v>18627.848699999973</v>
      </c>
      <c r="F40" s="254"/>
      <c r="G40" s="248">
        <f>G38-G39</f>
        <v>42790.989999999991</v>
      </c>
      <c r="H40" s="249"/>
      <c r="I40" s="212"/>
      <c r="J40" s="212"/>
      <c r="K40" s="44"/>
      <c r="L40" s="44"/>
    </row>
    <row r="41" spans="2:14" ht="31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205"/>
      <c r="I41" s="205"/>
      <c r="J41" s="205"/>
      <c r="K41" s="4"/>
      <c r="L41" s="4"/>
      <c r="M41" s="316"/>
      <c r="N41" s="316"/>
    </row>
    <row r="42" spans="2:14" ht="11.25" customHeight="1" x14ac:dyDescent="0.25">
      <c r="B42" s="205"/>
      <c r="C42" s="205"/>
      <c r="D42" s="205"/>
      <c r="E42" s="209"/>
      <c r="F42" s="231"/>
      <c r="G42" s="231"/>
      <c r="H42" s="210"/>
      <c r="I42" s="210"/>
      <c r="J42" s="210"/>
      <c r="K42" s="4"/>
      <c r="L42" s="4"/>
      <c r="M42" s="316"/>
      <c r="N42" s="316"/>
    </row>
    <row r="43" spans="2:14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205"/>
      <c r="I43" s="205"/>
      <c r="J43" s="205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0"/>
      <c r="G44" s="230"/>
      <c r="H44" s="205"/>
      <c r="I44" s="205"/>
      <c r="J44" s="205"/>
    </row>
    <row r="45" spans="2:14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205"/>
      <c r="I45" s="205"/>
      <c r="J45" s="205"/>
    </row>
    <row r="46" spans="2:14" ht="8.25" customHeight="1" x14ac:dyDescent="0.25">
      <c r="B46" s="45"/>
      <c r="C46" s="45"/>
      <c r="D46" s="45"/>
      <c r="E46" s="209"/>
      <c r="F46" s="46"/>
      <c r="G46" s="47"/>
      <c r="H46" s="48"/>
      <c r="I46" s="48"/>
      <c r="J46" s="48"/>
    </row>
    <row r="47" spans="2:14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5"/>
    </row>
    <row r="48" spans="2:14" ht="12" customHeight="1" x14ac:dyDescent="0.25">
      <c r="E48" s="209"/>
      <c r="F48" s="82"/>
    </row>
  </sheetData>
  <mergeCells count="54">
    <mergeCell ref="C38:D38"/>
    <mergeCell ref="C39:D39"/>
    <mergeCell ref="C40:D40"/>
    <mergeCell ref="M21:M22"/>
    <mergeCell ref="N21:N22"/>
    <mergeCell ref="B35:H35"/>
    <mergeCell ref="E36:F36"/>
    <mergeCell ref="G36:H36"/>
    <mergeCell ref="E37:F37"/>
    <mergeCell ref="G37:H37"/>
    <mergeCell ref="C36:D36"/>
    <mergeCell ref="C37:D37"/>
    <mergeCell ref="C15:D15"/>
    <mergeCell ref="C16:D16"/>
    <mergeCell ref="C17:D17"/>
    <mergeCell ref="C18:D18"/>
    <mergeCell ref="C19:D19"/>
    <mergeCell ref="G19:H19"/>
    <mergeCell ref="E16:F16"/>
    <mergeCell ref="G16:H16"/>
    <mergeCell ref="E17:F17"/>
    <mergeCell ref="G17:H17"/>
    <mergeCell ref="F47:G47"/>
    <mergeCell ref="E38:F38"/>
    <mergeCell ref="G38:H38"/>
    <mergeCell ref="G39:H39"/>
    <mergeCell ref="G40:H40"/>
    <mergeCell ref="F41:G41"/>
    <mergeCell ref="F42:G42"/>
    <mergeCell ref="F43:G43"/>
    <mergeCell ref="E39:F39"/>
    <mergeCell ref="E40:F40"/>
    <mergeCell ref="F45:G45"/>
    <mergeCell ref="F44:G44"/>
    <mergeCell ref="C41:E41"/>
    <mergeCell ref="C43:E43"/>
    <mergeCell ref="C45:E45"/>
    <mergeCell ref="C47:E47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8:F18"/>
    <mergeCell ref="G18:H18"/>
    <mergeCell ref="E19:F19"/>
  </mergeCells>
  <printOptions horizontalCentered="1"/>
  <pageMargins left="0.19685039370078741" right="0.19685039370078741" top="0.15748031496062992" bottom="0.27559055118110237" header="0.31496062992125984" footer="0.23622047244094491"/>
  <pageSetup paperSize="9" scale="4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0"/>
  <sheetViews>
    <sheetView zoomScale="110" zoomScaleNormal="110" workbookViewId="0">
      <selection activeCell="M1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7.5703125" style="5" customWidth="1"/>
    <col min="3" max="3" width="22.28515625" style="86" customWidth="1"/>
    <col min="4" max="5" width="10.28515625" style="82" customWidth="1"/>
    <col min="6" max="6" width="9.5703125" style="5" customWidth="1"/>
    <col min="7" max="7" width="10.42578125" style="5" customWidth="1"/>
    <col min="8" max="8" width="10.85546875" style="5" customWidth="1"/>
    <col min="9" max="9" width="10.7109375" style="5" bestFit="1" customWidth="1"/>
    <col min="10" max="10" width="9.140625" style="5"/>
    <col min="11" max="11" width="10.42578125" style="5" customWidth="1"/>
    <col min="12" max="12" width="9.140625" style="5"/>
    <col min="13" max="13" width="14" style="310" customWidth="1"/>
    <col min="14" max="14" width="13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3.25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9.75" customHeight="1" x14ac:dyDescent="0.25"/>
    <row r="5" spans="1:9" x14ac:dyDescent="0.25">
      <c r="B5" s="10" t="s">
        <v>0</v>
      </c>
      <c r="C5" s="125"/>
      <c r="D5" s="234" t="s">
        <v>57</v>
      </c>
      <c r="E5" s="234"/>
    </row>
    <row r="6" spans="1:9" x14ac:dyDescent="0.25">
      <c r="B6" s="10" t="s">
        <v>1</v>
      </c>
      <c r="C6" s="125"/>
      <c r="D6" s="207">
        <v>1961</v>
      </c>
      <c r="E6" s="207"/>
    </row>
    <row r="7" spans="1:9" hidden="1" outlineLevel="1" x14ac:dyDescent="0.25">
      <c r="B7" s="10" t="s">
        <v>2</v>
      </c>
      <c r="C7" s="125"/>
      <c r="D7" s="207">
        <v>2</v>
      </c>
      <c r="E7" s="207"/>
    </row>
    <row r="8" spans="1:9" hidden="1" outlineLevel="1" x14ac:dyDescent="0.25">
      <c r="B8" s="10" t="s">
        <v>3</v>
      </c>
      <c r="C8" s="125"/>
      <c r="D8" s="207">
        <v>16</v>
      </c>
      <c r="E8" s="207"/>
    </row>
    <row r="9" spans="1:9" ht="30.75" hidden="1" customHeight="1" outlineLevel="1" x14ac:dyDescent="0.25">
      <c r="B9" s="122" t="s">
        <v>4</v>
      </c>
      <c r="C9" s="126"/>
      <c r="D9" s="207" t="s">
        <v>58</v>
      </c>
      <c r="E9" s="207"/>
    </row>
    <row r="10" spans="1:9" collapsed="1" x14ac:dyDescent="0.25">
      <c r="B10" s="10" t="s">
        <v>5</v>
      </c>
      <c r="C10" s="125"/>
      <c r="D10" s="207" t="s">
        <v>243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58"/>
      <c r="D12" s="91" t="s">
        <v>59</v>
      </c>
      <c r="E12" s="208"/>
      <c r="I12" s="17"/>
    </row>
    <row r="13" spans="1:9" ht="10.5" customHeight="1" collapsed="1" x14ac:dyDescent="0.25">
      <c r="B13" s="14"/>
      <c r="C13" s="58"/>
      <c r="D13" s="91"/>
      <c r="E13" s="208"/>
      <c r="I13" s="17"/>
    </row>
    <row r="14" spans="1:9" ht="18.75" customHeight="1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4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ht="15" customHeight="1" x14ac:dyDescent="0.25">
      <c r="B16" s="93" t="s">
        <v>15</v>
      </c>
      <c r="C16" s="222">
        <v>649720.43999999994</v>
      </c>
      <c r="D16" s="223"/>
      <c r="E16" s="222">
        <v>448588.64</v>
      </c>
      <c r="F16" s="223"/>
      <c r="G16" s="222">
        <v>201131.8</v>
      </c>
      <c r="H16" s="256"/>
      <c r="I16" s="17"/>
    </row>
    <row r="17" spans="2:14" ht="15" customHeight="1" x14ac:dyDescent="0.25">
      <c r="B17" s="94" t="s">
        <v>16</v>
      </c>
      <c r="C17" s="220">
        <v>610420.47</v>
      </c>
      <c r="D17" s="221"/>
      <c r="E17" s="220">
        <v>421184.11</v>
      </c>
      <c r="F17" s="221"/>
      <c r="G17" s="220">
        <v>189236.36</v>
      </c>
      <c r="H17" s="251"/>
      <c r="I17" s="17"/>
    </row>
    <row r="18" spans="2:14" ht="15.75" customHeight="1" x14ac:dyDescent="0.25">
      <c r="B18" s="95" t="s">
        <v>189</v>
      </c>
      <c r="C18" s="220">
        <v>666598.92500000005</v>
      </c>
      <c r="D18" s="221"/>
      <c r="E18" s="220">
        <v>469007.92500000005</v>
      </c>
      <c r="F18" s="221"/>
      <c r="G18" s="220">
        <v>197591</v>
      </c>
      <c r="H18" s="251"/>
      <c r="I18" s="17"/>
    </row>
    <row r="19" spans="2:14" ht="15" customHeight="1" thickBot="1" x14ac:dyDescent="0.3">
      <c r="B19" s="96" t="s">
        <v>226</v>
      </c>
      <c r="C19" s="227">
        <v>10800</v>
      </c>
      <c r="D19" s="228"/>
      <c r="E19" s="227">
        <v>10800</v>
      </c>
      <c r="F19" s="228"/>
      <c r="G19" s="227">
        <v>0</v>
      </c>
      <c r="H19" s="250"/>
      <c r="I19" s="17"/>
    </row>
    <row r="20" spans="2:14" ht="30.75" customHeight="1" thickBot="1" x14ac:dyDescent="0.3">
      <c r="B20" s="97" t="s">
        <v>297</v>
      </c>
      <c r="C20" s="216">
        <f>E20+G20</f>
        <v>-45378.455000000075</v>
      </c>
      <c r="D20" s="217"/>
      <c r="E20" s="248">
        <f>E17+E19-E18</f>
        <v>-37023.815000000061</v>
      </c>
      <c r="F20" s="254"/>
      <c r="G20" s="248">
        <f>G17-G18</f>
        <v>-8354.640000000014</v>
      </c>
      <c r="H20" s="249"/>
      <c r="I20" s="17"/>
    </row>
    <row r="21" spans="2:14" ht="15.75" customHeight="1" x14ac:dyDescent="0.25">
      <c r="B21" s="14"/>
      <c r="C21" s="64"/>
      <c r="D21" s="91"/>
      <c r="E21" s="208"/>
      <c r="F21" s="82"/>
      <c r="H21" s="82"/>
      <c r="I21" s="17"/>
    </row>
    <row r="22" spans="2:14" ht="17.2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I22" s="16"/>
      <c r="J22" s="16"/>
      <c r="L22" s="17"/>
      <c r="M22" s="312" t="s">
        <v>301</v>
      </c>
      <c r="N22" s="312" t="s">
        <v>302</v>
      </c>
    </row>
    <row r="23" spans="2:14" ht="35.25" customHeight="1" x14ac:dyDescent="0.25">
      <c r="B23" s="235" t="s">
        <v>196</v>
      </c>
      <c r="C23" s="237" t="s">
        <v>197</v>
      </c>
      <c r="D23" s="237" t="s">
        <v>198</v>
      </c>
      <c r="E23" s="239" t="s">
        <v>325</v>
      </c>
      <c r="F23" s="241" t="s">
        <v>199</v>
      </c>
      <c r="G23" s="242"/>
      <c r="H23" s="243" t="s">
        <v>227</v>
      </c>
      <c r="I23" s="18"/>
      <c r="J23" s="18"/>
      <c r="L23" s="17"/>
      <c r="M23" s="313"/>
      <c r="N23" s="313"/>
    </row>
    <row r="24" spans="2:14" ht="45" customHeight="1" thickBot="1" x14ac:dyDescent="0.3">
      <c r="B24" s="236"/>
      <c r="C24" s="238"/>
      <c r="D24" s="238"/>
      <c r="E24" s="240"/>
      <c r="F24" s="19" t="s">
        <v>187</v>
      </c>
      <c r="G24" s="20" t="s">
        <v>188</v>
      </c>
      <c r="H24" s="244"/>
      <c r="I24" s="18"/>
      <c r="J24" s="18"/>
      <c r="M24" s="314">
        <v>74842.009999999995</v>
      </c>
      <c r="N24" s="314">
        <f>M24*1.01</f>
        <v>75590.430099999998</v>
      </c>
    </row>
    <row r="25" spans="2:14" ht="50.25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7386.6415828677846</v>
      </c>
      <c r="G25" s="24">
        <f>$N$24/$N$25*E25</f>
        <v>7460.5079986964629</v>
      </c>
      <c r="H25" s="25">
        <f>F25-G25</f>
        <v>-73.866415828678328</v>
      </c>
      <c r="I25" s="26"/>
      <c r="J25" s="26"/>
      <c r="K25" s="27"/>
      <c r="L25" s="28"/>
      <c r="M25" s="315">
        <f>E34-E32</f>
        <v>10.739999999999998</v>
      </c>
      <c r="N25" s="315">
        <f>E34-E32</f>
        <v>10.739999999999998</v>
      </c>
    </row>
    <row r="26" spans="2:14" ht="56.25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8292.5504562383612</v>
      </c>
      <c r="G26" s="24">
        <f>$N$24/$N$25*E26</f>
        <v>8375.4759608007462</v>
      </c>
      <c r="H26" s="25">
        <f t="shared" ref="H26:H31" si="0">F26-G26</f>
        <v>-82.925504562384958</v>
      </c>
      <c r="I26" s="26"/>
      <c r="J26" s="26"/>
      <c r="K26" s="4"/>
      <c r="L26" s="4"/>
      <c r="M26" s="316"/>
      <c r="N26" s="316"/>
    </row>
    <row r="27" spans="2:14" ht="55.5" customHeight="1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2229.9295344506518</v>
      </c>
      <c r="G27" s="24">
        <f t="shared" ref="G27:G30" si="2">$N$24/$N$25*E27</f>
        <v>2252.2288297951586</v>
      </c>
      <c r="H27" s="25">
        <f t="shared" si="0"/>
        <v>-22.299295344506845</v>
      </c>
      <c r="I27" s="26"/>
      <c r="J27" s="26"/>
      <c r="L27" s="17"/>
    </row>
    <row r="28" spans="2:14" ht="29.25" customHeight="1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580.71081626319062</v>
      </c>
      <c r="G28" s="24">
        <f>($N$24/12*2)/$N$25*E28</f>
        <v>586.51792442582246</v>
      </c>
      <c r="H28" s="25">
        <f t="shared" si="0"/>
        <v>-5.8071081626318346</v>
      </c>
      <c r="I28" s="26"/>
      <c r="J28" s="26"/>
      <c r="L28" s="17"/>
    </row>
    <row r="29" spans="2:14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8222.8651582867788</v>
      </c>
      <c r="G29" s="24">
        <f t="shared" si="2"/>
        <v>8305.0938098696461</v>
      </c>
      <c r="H29" s="25">
        <f t="shared" si="0"/>
        <v>-82.228651582867315</v>
      </c>
      <c r="I29" s="26"/>
      <c r="J29" s="26"/>
    </row>
    <row r="30" spans="2:14" ht="154.5" customHeight="1" x14ac:dyDescent="0.25">
      <c r="B30" s="29" t="s">
        <v>218</v>
      </c>
      <c r="C30" s="32" t="s">
        <v>204</v>
      </c>
      <c r="D30" s="22" t="s">
        <v>201</v>
      </c>
      <c r="E30" s="99">
        <v>5.61</v>
      </c>
      <c r="F30" s="23">
        <f t="shared" si="1"/>
        <v>39093.452150837991</v>
      </c>
      <c r="G30" s="24">
        <f t="shared" si="2"/>
        <v>39484.386672346373</v>
      </c>
      <c r="H30" s="25">
        <f t="shared" si="0"/>
        <v>-390.93452150838129</v>
      </c>
      <c r="I30" s="26"/>
      <c r="J30" s="26"/>
      <c r="K30" s="4"/>
      <c r="L30" s="3"/>
      <c r="M30" s="316"/>
      <c r="N30" s="316"/>
    </row>
    <row r="31" spans="2:14" ht="106.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1324.0206610800747</v>
      </c>
      <c r="G31" s="24">
        <f t="shared" ref="G31" si="3">$N$24/$N$25*E31</f>
        <v>1337.2608676908753</v>
      </c>
      <c r="H31" s="25">
        <f t="shared" si="0"/>
        <v>-13.240206610800669</v>
      </c>
      <c r="I31" s="26"/>
      <c r="J31" s="26"/>
    </row>
    <row r="32" spans="2:14" ht="56.25" customHeight="1" x14ac:dyDescent="0.25">
      <c r="B32" s="30" t="s">
        <v>206</v>
      </c>
      <c r="C32" s="8" t="s">
        <v>223</v>
      </c>
      <c r="D32" s="22" t="s">
        <v>201</v>
      </c>
      <c r="E32" s="99">
        <v>5.16</v>
      </c>
      <c r="F32" s="23">
        <v>38851.589999999997</v>
      </c>
      <c r="G32" s="6">
        <v>3547</v>
      </c>
      <c r="H32" s="25">
        <f>F32-G32</f>
        <v>35304.589999999997</v>
      </c>
      <c r="I32" s="26"/>
      <c r="J32" s="26"/>
      <c r="L32" s="17"/>
    </row>
    <row r="33" spans="2:14" ht="16.5" thickBot="1" x14ac:dyDescent="0.3">
      <c r="B33" s="67" t="s">
        <v>186</v>
      </c>
      <c r="C33" s="52" t="s">
        <v>204</v>
      </c>
      <c r="D33" s="53" t="s">
        <v>201</v>
      </c>
      <c r="E33" s="100">
        <v>0.69</v>
      </c>
      <c r="F33" s="23">
        <f t="shared" si="1"/>
        <v>4808.2855586592177</v>
      </c>
      <c r="G33" s="24">
        <f t="shared" ref="G33" si="4">$N$24/$N$25*E33</f>
        <v>4856.3684142458105</v>
      </c>
      <c r="H33" s="33">
        <f>F33-G33</f>
        <v>-48.082855586592814</v>
      </c>
      <c r="I33" s="26"/>
      <c r="J33" s="26"/>
    </row>
    <row r="34" spans="2:14" ht="16.5" thickBot="1" x14ac:dyDescent="0.3">
      <c r="B34" s="66" t="s">
        <v>190</v>
      </c>
      <c r="C34" s="55"/>
      <c r="D34" s="55"/>
      <c r="E34" s="101">
        <f>SUM(E25:E33)</f>
        <v>15.899999999999999</v>
      </c>
      <c r="F34" s="56">
        <f>SUM(F25:F33)</f>
        <v>110790.04591868406</v>
      </c>
      <c r="G34" s="57">
        <f>SUM(G25:G33)</f>
        <v>76204.840477870894</v>
      </c>
      <c r="H34" s="38">
        <f>SUM(H25:H33)</f>
        <v>34585.205440813152</v>
      </c>
      <c r="I34" s="39"/>
      <c r="J34" s="39"/>
    </row>
    <row r="35" spans="2:14" x14ac:dyDescent="0.25">
      <c r="B35" s="17"/>
      <c r="C35" s="17"/>
      <c r="D35" s="17"/>
      <c r="E35" s="86"/>
      <c r="F35" s="86"/>
      <c r="G35" s="86"/>
      <c r="H35" s="82"/>
      <c r="I35" s="82"/>
      <c r="J35" s="82"/>
    </row>
    <row r="36" spans="2:14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40"/>
      <c r="J36" s="40"/>
    </row>
    <row r="37" spans="2:14" ht="40.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41"/>
      <c r="J37" s="41"/>
      <c r="K37" s="42"/>
      <c r="L37" s="43"/>
      <c r="M37" s="317"/>
      <c r="N37" s="317"/>
    </row>
    <row r="38" spans="2:14" x14ac:dyDescent="0.25">
      <c r="B38" s="93" t="s">
        <v>15</v>
      </c>
      <c r="C38" s="222">
        <f>E38+G38</f>
        <v>760510.48591868405</v>
      </c>
      <c r="D38" s="223"/>
      <c r="E38" s="224">
        <f>F25+F26+F27+F28+F29+F30+F31+F33+E16</f>
        <v>520527.09591868409</v>
      </c>
      <c r="F38" s="225"/>
      <c r="G38" s="224">
        <f>F32+G16</f>
        <v>239983.38999999998</v>
      </c>
      <c r="H38" s="226"/>
      <c r="I38" s="212"/>
      <c r="J38" s="212"/>
      <c r="K38" s="9"/>
      <c r="L38" s="9"/>
      <c r="M38" s="318"/>
    </row>
    <row r="39" spans="2:14" x14ac:dyDescent="0.25">
      <c r="B39" s="94" t="s">
        <v>16</v>
      </c>
      <c r="C39" s="220">
        <f>E39+G39</f>
        <v>725981.1</v>
      </c>
      <c r="D39" s="221"/>
      <c r="E39" s="220">
        <f>E17+76071.04</f>
        <v>497255.14999999997</v>
      </c>
      <c r="F39" s="221"/>
      <c r="G39" s="220">
        <f>G17+39489.59</f>
        <v>228725.94999999998</v>
      </c>
      <c r="H39" s="251"/>
      <c r="I39" s="212"/>
      <c r="J39" s="212"/>
      <c r="K39" s="12"/>
      <c r="L39" s="9"/>
      <c r="M39" s="318"/>
    </row>
    <row r="40" spans="2:14" x14ac:dyDescent="0.25">
      <c r="B40" s="95" t="s">
        <v>189</v>
      </c>
      <c r="C40" s="220">
        <f>E40+G40</f>
        <v>742803.76547787094</v>
      </c>
      <c r="D40" s="221"/>
      <c r="E40" s="246">
        <f>G25+G26+G27+G28+G29+G30+G31+G33+E18</f>
        <v>541665.76547787094</v>
      </c>
      <c r="F40" s="247"/>
      <c r="G40" s="246">
        <f>G32+G18</f>
        <v>201138</v>
      </c>
      <c r="H40" s="252"/>
      <c r="I40" s="212"/>
      <c r="J40" s="212"/>
      <c r="K40" s="44"/>
      <c r="L40" s="44"/>
    </row>
    <row r="41" spans="2:14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212"/>
      <c r="J41" s="212"/>
      <c r="K41" s="44"/>
      <c r="L41" s="44"/>
    </row>
    <row r="42" spans="2:14" ht="25.5" thickBot="1" x14ac:dyDescent="0.3">
      <c r="B42" s="97" t="s">
        <v>298</v>
      </c>
      <c r="C42" s="216">
        <f>E42+G42</f>
        <v>-2422.6654778709926</v>
      </c>
      <c r="D42" s="217"/>
      <c r="E42" s="248">
        <f>E39+E41-E40</f>
        <v>-30010.615477870975</v>
      </c>
      <c r="F42" s="254"/>
      <c r="G42" s="248">
        <f>G39-G40</f>
        <v>27587.949999999983</v>
      </c>
      <c r="H42" s="249"/>
      <c r="I42" s="212"/>
      <c r="J42" s="212"/>
      <c r="K42" s="44"/>
      <c r="L42" s="44"/>
    </row>
    <row r="43" spans="2:14" ht="34.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205"/>
      <c r="I43" s="205"/>
      <c r="J43" s="205"/>
      <c r="K43" s="4"/>
      <c r="L43" s="4"/>
      <c r="M43" s="316"/>
      <c r="N43" s="316"/>
    </row>
    <row r="44" spans="2:14" ht="11.25" customHeight="1" x14ac:dyDescent="0.25">
      <c r="B44" s="205"/>
      <c r="C44" s="205"/>
      <c r="D44" s="205"/>
      <c r="E44" s="209"/>
      <c r="F44" s="231"/>
      <c r="G44" s="231"/>
      <c r="H44" s="210"/>
      <c r="I44" s="210"/>
      <c r="J44" s="210"/>
      <c r="K44" s="4"/>
      <c r="L44" s="4"/>
      <c r="M44" s="316"/>
      <c r="N44" s="316"/>
    </row>
    <row r="45" spans="2:14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205"/>
      <c r="I45" s="205"/>
      <c r="J45" s="205"/>
      <c r="K45" s="4"/>
      <c r="L45" s="4"/>
      <c r="M45" s="316"/>
      <c r="N45" s="316"/>
    </row>
    <row r="46" spans="2:14" ht="9.75" customHeight="1" x14ac:dyDescent="0.25">
      <c r="B46" s="205"/>
      <c r="C46" s="205"/>
      <c r="D46" s="205"/>
      <c r="E46" s="209"/>
      <c r="F46" s="230"/>
      <c r="G46" s="230"/>
      <c r="H46" s="205"/>
      <c r="I46" s="205"/>
      <c r="J46" s="205"/>
    </row>
    <row r="47" spans="2:14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205"/>
      <c r="I47" s="205"/>
      <c r="J47" s="205"/>
    </row>
    <row r="48" spans="2:14" ht="8.25" customHeight="1" x14ac:dyDescent="0.25">
      <c r="B48" s="45"/>
      <c r="C48" s="45"/>
      <c r="D48" s="45"/>
      <c r="E48" s="209"/>
      <c r="F48" s="46"/>
      <c r="G48" s="47"/>
      <c r="H48" s="48"/>
      <c r="I48" s="48"/>
      <c r="J48" s="48"/>
    </row>
    <row r="49" spans="2:8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</row>
    <row r="50" spans="2:8" ht="9" customHeight="1" x14ac:dyDescent="0.25">
      <c r="E50" s="209"/>
      <c r="F50" s="82"/>
      <c r="H50" s="82"/>
    </row>
  </sheetData>
  <mergeCells count="60">
    <mergeCell ref="N22:N23"/>
    <mergeCell ref="C37:D37"/>
    <mergeCell ref="C38:D38"/>
    <mergeCell ref="C39:D39"/>
    <mergeCell ref="B36:H36"/>
    <mergeCell ref="E37:F37"/>
    <mergeCell ref="G37:H37"/>
    <mergeCell ref="F49:G49"/>
    <mergeCell ref="F44:G44"/>
    <mergeCell ref="F45:G45"/>
    <mergeCell ref="F46:G46"/>
    <mergeCell ref="M22:M23"/>
    <mergeCell ref="F43:G43"/>
    <mergeCell ref="E42:F42"/>
    <mergeCell ref="E41:F41"/>
    <mergeCell ref="G41:H41"/>
    <mergeCell ref="F47:G47"/>
    <mergeCell ref="C43:E43"/>
    <mergeCell ref="C45:E45"/>
    <mergeCell ref="C47:E47"/>
    <mergeCell ref="C49:E49"/>
    <mergeCell ref="C40:D40"/>
    <mergeCell ref="C41:D41"/>
    <mergeCell ref="C42:D42"/>
    <mergeCell ref="E38:F38"/>
    <mergeCell ref="G38:H38"/>
    <mergeCell ref="E39:F39"/>
    <mergeCell ref="G39:H39"/>
    <mergeCell ref="E40:F40"/>
    <mergeCell ref="G40:H40"/>
    <mergeCell ref="G42:H42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E16:F16"/>
    <mergeCell ref="G16:H16"/>
    <mergeCell ref="C15:D15"/>
    <mergeCell ref="C16:D16"/>
    <mergeCell ref="E17:F17"/>
    <mergeCell ref="G17:H17"/>
    <mergeCell ref="E18:F18"/>
    <mergeCell ref="G18:H18"/>
    <mergeCell ref="C17:D17"/>
    <mergeCell ref="C18:D18"/>
    <mergeCell ref="E19:F19"/>
    <mergeCell ref="G19:H19"/>
    <mergeCell ref="E20:F20"/>
    <mergeCell ref="G20:H20"/>
    <mergeCell ref="C19:D19"/>
    <mergeCell ref="C20:D20"/>
  </mergeCells>
  <printOptions horizontalCentered="1"/>
  <pageMargins left="0.19685039370078741" right="0.19685039370078741" top="0.19685039370078741" bottom="0.23622047244094491" header="0.15748031496062992" footer="0.23622047244094491"/>
  <pageSetup paperSize="9"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50"/>
  <sheetViews>
    <sheetView topLeftCell="A28" zoomScale="110" zoomScaleNormal="110" workbookViewId="0">
      <selection activeCell="L28" sqref="L1:M1048576"/>
    </sheetView>
  </sheetViews>
  <sheetFormatPr defaultColWidth="9.140625" defaultRowHeight="15.75" outlineLevelRow="1" x14ac:dyDescent="0.25"/>
  <cols>
    <col min="1" max="1" width="2.85546875" style="5" customWidth="1"/>
    <col min="2" max="2" width="56" style="5" customWidth="1"/>
    <col min="3" max="3" width="23.85546875" style="86" customWidth="1"/>
    <col min="4" max="4" width="9.140625" style="82" customWidth="1"/>
    <col min="5" max="5" width="11.28515625" style="82" customWidth="1"/>
    <col min="6" max="6" width="10" style="5" customWidth="1"/>
    <col min="7" max="7" width="10.42578125" style="5" customWidth="1"/>
    <col min="8" max="8" width="10.85546875" style="5" customWidth="1"/>
    <col min="9" max="9" width="10.7109375" style="5" bestFit="1" customWidth="1"/>
    <col min="10" max="10" width="14.28515625" style="5" customWidth="1"/>
    <col min="11" max="11" width="9.140625" style="5"/>
    <col min="12" max="12" width="11.7109375" style="310" customWidth="1"/>
    <col min="13" max="13" width="12.7109375" style="310" customWidth="1"/>
    <col min="14" max="14" width="12.85546875" style="5" customWidth="1"/>
    <col min="15" max="16384" width="9.140625" style="5"/>
  </cols>
  <sheetData>
    <row r="1" spans="2:9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9" ht="25.5" customHeight="1" x14ac:dyDescent="0.35">
      <c r="B3" s="265"/>
      <c r="C3" s="265"/>
      <c r="D3" s="265"/>
      <c r="E3" s="265"/>
      <c r="F3" s="265"/>
      <c r="G3" s="265"/>
      <c r="H3" s="265"/>
      <c r="I3" s="59"/>
    </row>
    <row r="4" spans="2:9" ht="6" customHeight="1" x14ac:dyDescent="0.25"/>
    <row r="5" spans="2:9" x14ac:dyDescent="0.25">
      <c r="B5" s="10" t="s">
        <v>0</v>
      </c>
      <c r="C5" s="125"/>
      <c r="D5" s="234" t="s">
        <v>60</v>
      </c>
      <c r="E5" s="234"/>
      <c r="F5" s="10"/>
    </row>
    <row r="6" spans="2:9" x14ac:dyDescent="0.25">
      <c r="B6" s="10" t="s">
        <v>1</v>
      </c>
      <c r="C6" s="125"/>
      <c r="D6" s="207">
        <v>1961</v>
      </c>
      <c r="E6" s="207"/>
      <c r="F6" s="10"/>
    </row>
    <row r="7" spans="2:9" hidden="1" outlineLevel="1" x14ac:dyDescent="0.25">
      <c r="B7" s="10" t="s">
        <v>2</v>
      </c>
      <c r="C7" s="125"/>
      <c r="D7" s="207">
        <v>2</v>
      </c>
      <c r="E7" s="207"/>
      <c r="F7" s="10"/>
    </row>
    <row r="8" spans="2:9" hidden="1" outlineLevel="1" x14ac:dyDescent="0.25">
      <c r="B8" s="10" t="s">
        <v>3</v>
      </c>
      <c r="C8" s="125"/>
      <c r="D8" s="207">
        <v>14</v>
      </c>
      <c r="E8" s="207"/>
      <c r="F8" s="10"/>
    </row>
    <row r="9" spans="2:9" ht="30.75" hidden="1" customHeight="1" outlineLevel="1" x14ac:dyDescent="0.25">
      <c r="B9" s="122" t="s">
        <v>4</v>
      </c>
      <c r="C9" s="126"/>
      <c r="D9" s="207" t="s">
        <v>61</v>
      </c>
      <c r="E9" s="207"/>
      <c r="F9" s="10"/>
    </row>
    <row r="10" spans="2:9" collapsed="1" x14ac:dyDescent="0.25">
      <c r="B10" s="10" t="s">
        <v>5</v>
      </c>
      <c r="C10" s="125"/>
      <c r="D10" s="207" t="s">
        <v>244</v>
      </c>
      <c r="E10" s="207"/>
      <c r="F10" s="10"/>
      <c r="I10" s="17"/>
    </row>
    <row r="11" spans="2:9" hidden="1" outlineLevel="1" x14ac:dyDescent="0.25">
      <c r="B11" s="5" t="s">
        <v>6</v>
      </c>
      <c r="D11" s="208" t="s">
        <v>62</v>
      </c>
      <c r="E11" s="208"/>
    </row>
    <row r="12" spans="2:9" ht="34.5" hidden="1" customHeight="1" outlineLevel="1" x14ac:dyDescent="0.25">
      <c r="B12" s="14" t="s">
        <v>7</v>
      </c>
      <c r="C12" s="58"/>
      <c r="D12" s="91" t="s">
        <v>63</v>
      </c>
      <c r="E12" s="208"/>
      <c r="I12" s="17"/>
    </row>
    <row r="13" spans="2:9" ht="7.5" customHeight="1" collapsed="1" x14ac:dyDescent="0.25">
      <c r="B13" s="14"/>
      <c r="C13" s="58"/>
      <c r="D13" s="91"/>
      <c r="E13" s="208"/>
      <c r="I13" s="17"/>
    </row>
    <row r="14" spans="2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9" ht="41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9" x14ac:dyDescent="0.25">
      <c r="B16" s="93" t="s">
        <v>15</v>
      </c>
      <c r="C16" s="222">
        <v>506271.77</v>
      </c>
      <c r="D16" s="253"/>
      <c r="E16" s="224">
        <v>391683.85000000003</v>
      </c>
      <c r="F16" s="225"/>
      <c r="G16" s="224">
        <v>114587.92</v>
      </c>
      <c r="H16" s="226"/>
      <c r="I16" s="17"/>
    </row>
    <row r="17" spans="2:14" x14ac:dyDescent="0.25">
      <c r="B17" s="94" t="s">
        <v>16</v>
      </c>
      <c r="C17" s="220">
        <v>364702.36000000004</v>
      </c>
      <c r="D17" s="221"/>
      <c r="E17" s="220">
        <v>282207.27</v>
      </c>
      <c r="F17" s="221"/>
      <c r="G17" s="220">
        <v>82495.090000000011</v>
      </c>
      <c r="H17" s="251"/>
      <c r="I17" s="17"/>
    </row>
    <row r="18" spans="2:14" x14ac:dyDescent="0.25">
      <c r="B18" s="95" t="s">
        <v>189</v>
      </c>
      <c r="C18" s="220">
        <v>462995.19550000003</v>
      </c>
      <c r="D18" s="221"/>
      <c r="E18" s="246">
        <v>379653.19550000003</v>
      </c>
      <c r="F18" s="247"/>
      <c r="G18" s="246">
        <v>83342</v>
      </c>
      <c r="H18" s="252"/>
      <c r="I18" s="17"/>
    </row>
    <row r="19" spans="2:14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4" ht="27" customHeight="1" thickBot="1" x14ac:dyDescent="0.3">
      <c r="B20" s="97" t="s">
        <v>297</v>
      </c>
      <c r="C20" s="216">
        <f>E20+G20</f>
        <v>-87492.835500000001</v>
      </c>
      <c r="D20" s="217"/>
      <c r="E20" s="248">
        <f>E17+E19-E18</f>
        <v>-86645.925500000012</v>
      </c>
      <c r="F20" s="254"/>
      <c r="G20" s="248">
        <f>G17-G18</f>
        <v>-846.90999999998894</v>
      </c>
      <c r="H20" s="249"/>
      <c r="I20" s="17"/>
    </row>
    <row r="21" spans="2:14" x14ac:dyDescent="0.25">
      <c r="B21" s="14"/>
      <c r="C21" s="64"/>
      <c r="D21" s="91"/>
      <c r="E21" s="208"/>
      <c r="F21" s="82"/>
      <c r="H21" s="82"/>
      <c r="I21" s="17"/>
    </row>
    <row r="22" spans="2:14" ht="21.7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I22" s="16"/>
      <c r="J22" s="16"/>
      <c r="L22" s="321"/>
      <c r="M22" s="312" t="s">
        <v>301</v>
      </c>
      <c r="N22" s="218" t="s">
        <v>302</v>
      </c>
    </row>
    <row r="23" spans="2:14" ht="35.25" customHeight="1" x14ac:dyDescent="0.25">
      <c r="B23" s="235" t="s">
        <v>196</v>
      </c>
      <c r="C23" s="237" t="s">
        <v>197</v>
      </c>
      <c r="D23" s="237" t="s">
        <v>198</v>
      </c>
      <c r="E23" s="239" t="s">
        <v>325</v>
      </c>
      <c r="F23" s="241" t="s">
        <v>199</v>
      </c>
      <c r="G23" s="242"/>
      <c r="H23" s="243" t="s">
        <v>227</v>
      </c>
      <c r="I23" s="18"/>
      <c r="J23" s="18"/>
      <c r="L23" s="321"/>
      <c r="M23" s="313"/>
      <c r="N23" s="219"/>
    </row>
    <row r="24" spans="2:14" ht="45" customHeight="1" thickBot="1" x14ac:dyDescent="0.3">
      <c r="B24" s="236"/>
      <c r="C24" s="238"/>
      <c r="D24" s="238"/>
      <c r="E24" s="240"/>
      <c r="F24" s="19" t="s">
        <v>187</v>
      </c>
      <c r="G24" s="20" t="s">
        <v>188</v>
      </c>
      <c r="H24" s="244"/>
      <c r="I24" s="18"/>
      <c r="J24" s="18"/>
      <c r="M24" s="314">
        <v>63783.93</v>
      </c>
      <c r="N24" s="1">
        <f>M24*1.01</f>
        <v>64421.7693</v>
      </c>
    </row>
    <row r="25" spans="2:14" ht="50.25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6378.3930000000009</v>
      </c>
      <c r="G25" s="24">
        <f>$N$24/$N$25*E25</f>
        <v>6442.1769300000005</v>
      </c>
      <c r="H25" s="25">
        <f>F25-G25</f>
        <v>-63.7839299999996</v>
      </c>
      <c r="I25" s="26"/>
      <c r="J25" s="26"/>
      <c r="K25" s="27"/>
      <c r="L25" s="322"/>
      <c r="M25" s="315">
        <f>E34-E32</f>
        <v>10.6</v>
      </c>
      <c r="N25" s="2">
        <f>E34-E32</f>
        <v>10.6</v>
      </c>
    </row>
    <row r="26" spans="2:14" ht="51" x14ac:dyDescent="0.25">
      <c r="B26" s="29" t="s">
        <v>202</v>
      </c>
      <c r="C26" s="8" t="s">
        <v>223</v>
      </c>
      <c r="D26" s="22" t="s">
        <v>201</v>
      </c>
      <c r="E26" s="99">
        <v>0</v>
      </c>
      <c r="F26" s="23">
        <f>$M$24/$M$25*E26</f>
        <v>0</v>
      </c>
      <c r="G26" s="24">
        <f>$N$24/$N$25*E26</f>
        <v>0</v>
      </c>
      <c r="H26" s="25">
        <f t="shared" ref="H26:H31" si="0">F26-G26</f>
        <v>0</v>
      </c>
      <c r="I26" s="26"/>
      <c r="J26" s="26"/>
      <c r="K26" s="4"/>
      <c r="L26" s="323" t="s">
        <v>289</v>
      </c>
      <c r="M26" s="318"/>
      <c r="N26" s="11"/>
    </row>
    <row r="27" spans="2:14" ht="55.5" customHeight="1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1925.5526037735851</v>
      </c>
      <c r="G27" s="24">
        <f t="shared" ref="G27:G30" si="2">$N$24/$N$25*E27</f>
        <v>1944.8081298113207</v>
      </c>
      <c r="H27" s="25">
        <f t="shared" si="0"/>
        <v>-19.255526037735535</v>
      </c>
      <c r="I27" s="26"/>
      <c r="J27" s="26"/>
      <c r="L27" s="323" t="s">
        <v>290</v>
      </c>
      <c r="M27" s="323"/>
      <c r="N27" s="10"/>
    </row>
    <row r="28" spans="2:14" ht="29.25" customHeight="1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501.44599056603778</v>
      </c>
      <c r="G28" s="24">
        <f>($N$24/12*2)/$N$25*E28</f>
        <v>506.46045047169815</v>
      </c>
      <c r="H28" s="25">
        <f t="shared" si="0"/>
        <v>-5.0144599056603738</v>
      </c>
      <c r="I28" s="26"/>
      <c r="J28" s="26"/>
      <c r="L28" s="318" t="s">
        <v>291</v>
      </c>
      <c r="M28" s="323"/>
      <c r="N28" s="10"/>
    </row>
    <row r="29" spans="2:14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7100.4752264150939</v>
      </c>
      <c r="G29" s="24">
        <f t="shared" si="2"/>
        <v>7171.4799786792446</v>
      </c>
      <c r="H29" s="25">
        <f t="shared" si="0"/>
        <v>-71.004752264150738</v>
      </c>
      <c r="I29" s="26"/>
      <c r="J29" s="26"/>
    </row>
    <row r="30" spans="2:14" ht="154.5" customHeight="1" x14ac:dyDescent="0.25">
      <c r="B30" s="29" t="s">
        <v>218</v>
      </c>
      <c r="C30" s="32" t="s">
        <v>204</v>
      </c>
      <c r="D30" s="22" t="s">
        <v>201</v>
      </c>
      <c r="E30" s="99">
        <v>5.61</v>
      </c>
      <c r="F30" s="23">
        <f t="shared" si="1"/>
        <v>33757.344084905664</v>
      </c>
      <c r="G30" s="24">
        <f t="shared" si="2"/>
        <v>34094.917525754718</v>
      </c>
      <c r="H30" s="25">
        <f t="shared" si="0"/>
        <v>-337.57344084905344</v>
      </c>
      <c r="I30" s="26"/>
      <c r="J30" s="26"/>
      <c r="K30" s="4"/>
      <c r="L30" s="324"/>
      <c r="M30" s="316"/>
      <c r="N30" s="4"/>
    </row>
    <row r="31" spans="2:14" ht="106.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1143.2968584905661</v>
      </c>
      <c r="G31" s="24">
        <f t="shared" ref="G31" si="3">$N$24/$N$25*E31</f>
        <v>1154.7298270754716</v>
      </c>
      <c r="H31" s="25">
        <f t="shared" si="0"/>
        <v>-11.432968584905439</v>
      </c>
      <c r="I31" s="26"/>
      <c r="J31" s="26"/>
    </row>
    <row r="32" spans="2:14" ht="56.25" customHeight="1" x14ac:dyDescent="0.25">
      <c r="B32" s="30" t="s">
        <v>206</v>
      </c>
      <c r="C32" s="8" t="s">
        <v>223</v>
      </c>
      <c r="D32" s="22" t="s">
        <v>201</v>
      </c>
      <c r="E32" s="99">
        <v>3.64</v>
      </c>
      <c r="F32" s="23">
        <v>23618.87</v>
      </c>
      <c r="G32" s="6">
        <v>51289</v>
      </c>
      <c r="H32" s="25">
        <f>F32-G32</f>
        <v>-27670.13</v>
      </c>
      <c r="I32" s="26"/>
      <c r="J32" s="26"/>
      <c r="L32" s="321"/>
    </row>
    <row r="33" spans="2:14" ht="16.5" thickBot="1" x14ac:dyDescent="0.3">
      <c r="B33" s="67" t="s">
        <v>186</v>
      </c>
      <c r="C33" s="52" t="s">
        <v>204</v>
      </c>
      <c r="D33" s="53" t="s">
        <v>201</v>
      </c>
      <c r="E33" s="100">
        <f>1.47+0.27</f>
        <v>1.74</v>
      </c>
      <c r="F33" s="23">
        <f t="shared" si="1"/>
        <v>10470.192283018869</v>
      </c>
      <c r="G33" s="24">
        <f t="shared" ref="G33" si="4">$N$24/$N$25*E33</f>
        <v>10574.894205849056</v>
      </c>
      <c r="H33" s="33">
        <f>F33-G33</f>
        <v>-104.70192283018696</v>
      </c>
      <c r="I33" s="26"/>
      <c r="J33" s="26"/>
    </row>
    <row r="34" spans="2:14" ht="16.5" thickBot="1" x14ac:dyDescent="0.3">
      <c r="B34" s="66" t="s">
        <v>190</v>
      </c>
      <c r="C34" s="55"/>
      <c r="D34" s="55"/>
      <c r="E34" s="101">
        <f>SUM(E25:E33)</f>
        <v>14.24</v>
      </c>
      <c r="F34" s="56">
        <f>SUM(F25:F33)</f>
        <v>84895.570047169822</v>
      </c>
      <c r="G34" s="57">
        <f>SUM(G25:G33)</f>
        <v>113178.4670476415</v>
      </c>
      <c r="H34" s="38">
        <f>SUM(H25:H33)</f>
        <v>-28282.897000471694</v>
      </c>
      <c r="I34" s="39"/>
      <c r="J34" s="39"/>
    </row>
    <row r="35" spans="2:14" x14ac:dyDescent="0.25">
      <c r="B35" s="17"/>
      <c r="C35" s="17"/>
      <c r="D35" s="17"/>
      <c r="E35" s="86"/>
      <c r="F35" s="86"/>
      <c r="G35" s="86"/>
      <c r="H35" s="82"/>
      <c r="I35" s="82"/>
      <c r="J35" s="82"/>
    </row>
    <row r="36" spans="2:14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40"/>
      <c r="J36" s="40"/>
    </row>
    <row r="37" spans="2:14" ht="44.2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41"/>
      <c r="J37" s="41"/>
      <c r="K37" s="42"/>
      <c r="L37" s="319"/>
      <c r="M37" s="317"/>
      <c r="N37" s="82"/>
    </row>
    <row r="38" spans="2:14" x14ac:dyDescent="0.25">
      <c r="B38" s="93" t="s">
        <v>15</v>
      </c>
      <c r="C38" s="222">
        <f>E38+G38</f>
        <v>591167.34004716983</v>
      </c>
      <c r="D38" s="223"/>
      <c r="E38" s="224">
        <f>F25+F26+F27+F28+F29+F30+F31+F33+E16</f>
        <v>452960.55004716985</v>
      </c>
      <c r="F38" s="225"/>
      <c r="G38" s="224">
        <f>F32+G16</f>
        <v>138206.79</v>
      </c>
      <c r="H38" s="226"/>
      <c r="I38" s="212"/>
      <c r="J38" s="212"/>
      <c r="K38" s="9"/>
      <c r="L38" s="320"/>
      <c r="M38" s="318"/>
    </row>
    <row r="39" spans="2:14" x14ac:dyDescent="0.25">
      <c r="B39" s="94" t="s">
        <v>16</v>
      </c>
      <c r="C39" s="220">
        <f>E39+G39</f>
        <v>420578.87</v>
      </c>
      <c r="D39" s="221"/>
      <c r="E39" s="220">
        <f>E17+40776.99</f>
        <v>322984.26</v>
      </c>
      <c r="F39" s="221"/>
      <c r="G39" s="220">
        <f>G17+15099.52</f>
        <v>97594.610000000015</v>
      </c>
      <c r="H39" s="251"/>
      <c r="I39" s="212"/>
      <c r="J39" s="212"/>
      <c r="K39" s="12"/>
      <c r="L39" s="320"/>
      <c r="M39" s="318"/>
    </row>
    <row r="40" spans="2:14" x14ac:dyDescent="0.25">
      <c r="B40" s="95" t="s">
        <v>189</v>
      </c>
      <c r="C40" s="220">
        <f>E40+G40</f>
        <v>576173.66254764155</v>
      </c>
      <c r="D40" s="221"/>
      <c r="E40" s="246">
        <f>G25+G26+G27+G28+G29+G30+G31+G33+E18</f>
        <v>441542.66254764155</v>
      </c>
      <c r="F40" s="247"/>
      <c r="G40" s="246">
        <f>G32+G18</f>
        <v>134631</v>
      </c>
      <c r="H40" s="252"/>
      <c r="I40" s="212"/>
      <c r="J40" s="212"/>
      <c r="K40" s="44"/>
      <c r="L40" s="325"/>
    </row>
    <row r="41" spans="2:14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212"/>
      <c r="J41" s="212"/>
      <c r="K41" s="44"/>
      <c r="L41" s="325"/>
    </row>
    <row r="42" spans="2:14" ht="36.75" thickBot="1" x14ac:dyDescent="0.3">
      <c r="B42" s="97" t="s">
        <v>298</v>
      </c>
      <c r="C42" s="216">
        <f>E42+G42</f>
        <v>-141194.79254764153</v>
      </c>
      <c r="D42" s="217"/>
      <c r="E42" s="248">
        <f>E39+E41-E40</f>
        <v>-104158.40254764154</v>
      </c>
      <c r="F42" s="254"/>
      <c r="G42" s="248">
        <f>G39-G40</f>
        <v>-37036.389999999985</v>
      </c>
      <c r="H42" s="249"/>
      <c r="I42" s="212"/>
      <c r="J42" s="212"/>
      <c r="K42" s="44"/>
      <c r="L42" s="325"/>
    </row>
    <row r="43" spans="2:14" ht="34.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205"/>
      <c r="I43" s="205"/>
      <c r="J43" s="205"/>
      <c r="K43" s="4"/>
      <c r="L43" s="316"/>
      <c r="M43" s="316"/>
      <c r="N43" s="4"/>
    </row>
    <row r="44" spans="2:14" ht="11.25" customHeight="1" x14ac:dyDescent="0.25">
      <c r="B44" s="205"/>
      <c r="C44" s="205"/>
      <c r="D44" s="205"/>
      <c r="E44" s="209"/>
      <c r="F44" s="231"/>
      <c r="G44" s="231"/>
      <c r="H44" s="210"/>
      <c r="I44" s="210"/>
      <c r="J44" s="210"/>
      <c r="K44" s="4"/>
      <c r="L44" s="316"/>
      <c r="M44" s="316"/>
      <c r="N44" s="4"/>
    </row>
    <row r="45" spans="2:14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205"/>
      <c r="I45" s="205"/>
      <c r="J45" s="205"/>
      <c r="K45" s="4"/>
      <c r="L45" s="316"/>
      <c r="M45" s="316"/>
      <c r="N45" s="4"/>
    </row>
    <row r="46" spans="2:14" ht="9.75" customHeight="1" x14ac:dyDescent="0.25">
      <c r="B46" s="205"/>
      <c r="C46" s="205"/>
      <c r="D46" s="205"/>
      <c r="E46" s="209"/>
      <c r="F46" s="230"/>
      <c r="G46" s="230"/>
      <c r="H46" s="205"/>
      <c r="I46" s="205"/>
      <c r="J46" s="205"/>
    </row>
    <row r="47" spans="2:14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205"/>
      <c r="I47" s="205"/>
      <c r="J47" s="205"/>
    </row>
    <row r="48" spans="2:14" ht="8.25" customHeight="1" x14ac:dyDescent="0.25">
      <c r="B48" s="45"/>
      <c r="C48" s="45"/>
      <c r="D48" s="45"/>
      <c r="E48" s="209"/>
      <c r="F48" s="46"/>
      <c r="G48" s="47"/>
      <c r="H48" s="48"/>
      <c r="I48" s="48"/>
      <c r="J48" s="48"/>
    </row>
    <row r="49" spans="2:7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</row>
    <row r="50" spans="2:7" ht="10.5" customHeight="1" x14ac:dyDescent="0.25">
      <c r="E50" s="209"/>
    </row>
  </sheetData>
  <mergeCells count="60">
    <mergeCell ref="C40:D40"/>
    <mergeCell ref="E42:F42"/>
    <mergeCell ref="G42:H42"/>
    <mergeCell ref="E41:F41"/>
    <mergeCell ref="G41:H41"/>
    <mergeCell ref="C41:D41"/>
    <mergeCell ref="C42:D42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C15:D15"/>
    <mergeCell ref="C16:D16"/>
    <mergeCell ref="C17:D17"/>
    <mergeCell ref="C18:D18"/>
    <mergeCell ref="C19:D19"/>
    <mergeCell ref="B14:H14"/>
    <mergeCell ref="E15:F15"/>
    <mergeCell ref="G15:H15"/>
    <mergeCell ref="E16:F16"/>
    <mergeCell ref="G16:H16"/>
    <mergeCell ref="E17:F17"/>
    <mergeCell ref="G17:H17"/>
    <mergeCell ref="E18:F18"/>
    <mergeCell ref="E39:F39"/>
    <mergeCell ref="G39:H39"/>
    <mergeCell ref="E38:F38"/>
    <mergeCell ref="G38:H38"/>
    <mergeCell ref="B36:H36"/>
    <mergeCell ref="C20:D20"/>
    <mergeCell ref="C37:D37"/>
    <mergeCell ref="C38:D38"/>
    <mergeCell ref="C39:D39"/>
    <mergeCell ref="N22:N23"/>
    <mergeCell ref="E19:F19"/>
    <mergeCell ref="G19:H19"/>
    <mergeCell ref="E20:F20"/>
    <mergeCell ref="G20:H20"/>
    <mergeCell ref="C45:E45"/>
    <mergeCell ref="C47:E47"/>
    <mergeCell ref="C49:E49"/>
    <mergeCell ref="G18:H18"/>
    <mergeCell ref="M22:M23"/>
    <mergeCell ref="F44:G44"/>
    <mergeCell ref="F46:G46"/>
    <mergeCell ref="E40:F40"/>
    <mergeCell ref="G40:H40"/>
    <mergeCell ref="F43:G43"/>
    <mergeCell ref="C43:E43"/>
    <mergeCell ref="F49:G49"/>
    <mergeCell ref="F45:G45"/>
    <mergeCell ref="F47:G47"/>
    <mergeCell ref="E37:F37"/>
    <mergeCell ref="G37:H37"/>
  </mergeCells>
  <printOptions horizontalCentered="1"/>
  <pageMargins left="0.19685039370078741" right="0.19685039370078741" top="0.31496062992125984" bottom="0.23622047244094491" header="0.31496062992125984" footer="0.31496062992125984"/>
  <pageSetup paperSize="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48"/>
  <sheetViews>
    <sheetView topLeftCell="A28" zoomScale="110" zoomScaleNormal="110" workbookViewId="0">
      <selection activeCell="M28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7.140625" style="5" customWidth="1"/>
    <col min="3" max="3" width="21.5703125" style="86" customWidth="1"/>
    <col min="4" max="4" width="9.85546875" style="82" customWidth="1"/>
    <col min="5" max="5" width="9.7109375" style="82" customWidth="1"/>
    <col min="6" max="6" width="9.42578125" style="5" customWidth="1"/>
    <col min="7" max="7" width="10.42578125" style="5" customWidth="1"/>
    <col min="8" max="8" width="10.5703125" style="82" customWidth="1"/>
    <col min="9" max="9" width="10.7109375" style="5" bestFit="1" customWidth="1"/>
    <col min="10" max="10" width="11.7109375" style="5" customWidth="1"/>
    <col min="11" max="11" width="9.140625" style="5"/>
    <col min="12" max="12" width="11.7109375" style="5" customWidth="1"/>
    <col min="13" max="13" width="12.7109375" style="310" customWidth="1"/>
    <col min="14" max="14" width="12.140625" style="310" customWidth="1"/>
    <col min="15" max="16384" width="9.140625" style="5"/>
  </cols>
  <sheetData>
    <row r="1" spans="2:9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9" ht="21.75" customHeight="1" x14ac:dyDescent="0.35">
      <c r="B3" s="265"/>
      <c r="C3" s="265"/>
      <c r="D3" s="265"/>
      <c r="E3" s="265"/>
      <c r="F3" s="265"/>
      <c r="G3" s="265"/>
      <c r="H3" s="265"/>
      <c r="I3" s="59"/>
    </row>
    <row r="4" spans="2:9" ht="11.25" customHeight="1" x14ac:dyDescent="0.25"/>
    <row r="5" spans="2:9" x14ac:dyDescent="0.25">
      <c r="B5" s="10" t="s">
        <v>0</v>
      </c>
      <c r="C5" s="125"/>
      <c r="D5" s="234" t="s">
        <v>64</v>
      </c>
      <c r="E5" s="234"/>
    </row>
    <row r="6" spans="2:9" x14ac:dyDescent="0.25">
      <c r="B6" s="10" t="s">
        <v>1</v>
      </c>
      <c r="C6" s="125"/>
      <c r="D6" s="207">
        <v>1962</v>
      </c>
      <c r="E6" s="207"/>
    </row>
    <row r="7" spans="2:9" hidden="1" outlineLevel="1" x14ac:dyDescent="0.25">
      <c r="B7" s="10" t="s">
        <v>2</v>
      </c>
      <c r="C7" s="125"/>
      <c r="D7" s="207">
        <v>2</v>
      </c>
      <c r="E7" s="207"/>
    </row>
    <row r="8" spans="2:9" hidden="1" outlineLevel="1" x14ac:dyDescent="0.25">
      <c r="B8" s="10" t="s">
        <v>3</v>
      </c>
      <c r="C8" s="125"/>
      <c r="D8" s="207">
        <v>16</v>
      </c>
      <c r="E8" s="207"/>
    </row>
    <row r="9" spans="2:9" ht="30.75" hidden="1" customHeight="1" outlineLevel="1" x14ac:dyDescent="0.25">
      <c r="B9" s="122" t="s">
        <v>4</v>
      </c>
      <c r="C9" s="126"/>
      <c r="D9" s="207" t="s">
        <v>65</v>
      </c>
      <c r="E9" s="207"/>
    </row>
    <row r="10" spans="2:9" collapsed="1" x14ac:dyDescent="0.25">
      <c r="B10" s="10" t="s">
        <v>5</v>
      </c>
      <c r="C10" s="125"/>
      <c r="D10" s="207" t="s">
        <v>245</v>
      </c>
      <c r="E10" s="207"/>
      <c r="I10" s="17"/>
    </row>
    <row r="11" spans="2:9" hidden="1" outlineLevel="1" x14ac:dyDescent="0.25">
      <c r="B11" s="5" t="s">
        <v>6</v>
      </c>
      <c r="D11" s="208" t="s">
        <v>66</v>
      </c>
      <c r="E11" s="208"/>
    </row>
    <row r="12" spans="2:9" ht="30.75" hidden="1" customHeight="1" outlineLevel="1" x14ac:dyDescent="0.25">
      <c r="B12" s="14" t="s">
        <v>7</v>
      </c>
      <c r="C12" s="58"/>
      <c r="D12" s="91" t="s">
        <v>67</v>
      </c>
      <c r="E12" s="208"/>
      <c r="I12" s="17"/>
    </row>
    <row r="13" spans="2:9" ht="8.25" customHeight="1" collapsed="1" x14ac:dyDescent="0.25">
      <c r="B13" s="14"/>
      <c r="C13" s="58"/>
      <c r="D13" s="91"/>
      <c r="E13" s="208"/>
      <c r="I13" s="17"/>
    </row>
    <row r="14" spans="2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9" ht="41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9" x14ac:dyDescent="0.25">
      <c r="B16" s="93" t="s">
        <v>15</v>
      </c>
      <c r="C16" s="222">
        <v>488147.76000000007</v>
      </c>
      <c r="D16" s="253"/>
      <c r="E16" s="224">
        <v>395738.06000000006</v>
      </c>
      <c r="F16" s="225"/>
      <c r="G16" s="224">
        <v>92409.7</v>
      </c>
      <c r="H16" s="226"/>
      <c r="I16" s="17"/>
    </row>
    <row r="17" spans="2:14" x14ac:dyDescent="0.25">
      <c r="B17" s="94" t="s">
        <v>16</v>
      </c>
      <c r="C17" s="220">
        <v>485275.39999999997</v>
      </c>
      <c r="D17" s="221"/>
      <c r="E17" s="220">
        <v>395405.35</v>
      </c>
      <c r="F17" s="221"/>
      <c r="G17" s="220">
        <v>89870.05</v>
      </c>
      <c r="H17" s="251"/>
      <c r="I17" s="17"/>
    </row>
    <row r="18" spans="2:14" ht="16.5" thickBot="1" x14ac:dyDescent="0.3">
      <c r="B18" s="95" t="s">
        <v>189</v>
      </c>
      <c r="C18" s="220">
        <v>527967.04560000007</v>
      </c>
      <c r="D18" s="221"/>
      <c r="E18" s="246">
        <v>409352.04560000007</v>
      </c>
      <c r="F18" s="247"/>
      <c r="G18" s="246">
        <v>118615</v>
      </c>
      <c r="H18" s="252"/>
      <c r="I18" s="17"/>
    </row>
    <row r="19" spans="2:14" ht="32.25" customHeight="1" thickBot="1" x14ac:dyDescent="0.3">
      <c r="B19" s="97" t="s">
        <v>297</v>
      </c>
      <c r="C19" s="216">
        <f>E19+G19</f>
        <v>-42691.645600000091</v>
      </c>
      <c r="D19" s="217"/>
      <c r="E19" s="248">
        <f>E17-E18</f>
        <v>-13946.695600000094</v>
      </c>
      <c r="F19" s="254"/>
      <c r="G19" s="248">
        <f>G17-G18</f>
        <v>-28744.949999999997</v>
      </c>
      <c r="H19" s="249"/>
      <c r="I19" s="17"/>
    </row>
    <row r="20" spans="2:14" x14ac:dyDescent="0.25">
      <c r="B20" s="14"/>
      <c r="C20" s="64"/>
      <c r="D20" s="91"/>
      <c r="E20" s="208"/>
      <c r="F20" s="82"/>
      <c r="I20" s="17"/>
    </row>
    <row r="21" spans="2:14" ht="17.2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35.2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4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62726.51</v>
      </c>
      <c r="N23" s="314">
        <f>M23*1.01</f>
        <v>63353.775100000006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7134.1309656652356</v>
      </c>
      <c r="G24" s="24">
        <f>$N$23/$N$24*E24</f>
        <v>7205.4722753218894</v>
      </c>
      <c r="H24" s="25">
        <f>F24-G24</f>
        <v>-71.341309656653721</v>
      </c>
      <c r="I24" s="26"/>
      <c r="J24" s="26"/>
      <c r="K24" s="27"/>
      <c r="L24" s="28"/>
      <c r="M24" s="315">
        <f>E33-E31</f>
        <v>9.32</v>
      </c>
      <c r="N24" s="315">
        <f>E33-E31</f>
        <v>9.32</v>
      </c>
    </row>
    <row r="25" spans="2:14" ht="56.25" x14ac:dyDescent="0.25">
      <c r="B25" s="29" t="s">
        <v>202</v>
      </c>
      <c r="C25" s="8" t="s">
        <v>223</v>
      </c>
      <c r="D25" s="22" t="s">
        <v>201</v>
      </c>
      <c r="E25" s="99">
        <v>0</v>
      </c>
      <c r="F25" s="23">
        <f>$M$23/$M$24*E25</f>
        <v>0</v>
      </c>
      <c r="G25" s="24">
        <f>$N$23/$N$24*E25</f>
        <v>0</v>
      </c>
      <c r="H25" s="25">
        <f t="shared" ref="H25:H30" si="0">F25-G25</f>
        <v>0</v>
      </c>
      <c r="I25" s="26"/>
      <c r="J25" s="26"/>
      <c r="K25" s="4"/>
      <c r="L25" s="10" t="s">
        <v>289</v>
      </c>
      <c r="M25" s="318"/>
      <c r="N25" s="318"/>
    </row>
    <row r="26" spans="2:14" ht="55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2153.6999141630899</v>
      </c>
      <c r="G26" s="24">
        <f t="shared" ref="G26:G29" si="2">$N$23/$N$24*E26</f>
        <v>2175.2369133047214</v>
      </c>
      <c r="H26" s="25">
        <f t="shared" si="0"/>
        <v>-21.536999141631441</v>
      </c>
      <c r="I26" s="26"/>
      <c r="J26" s="26"/>
      <c r="L26" s="10" t="s">
        <v>290</v>
      </c>
      <c r="M26" s="323"/>
      <c r="N26" s="323"/>
    </row>
    <row r="27" spans="2:14" ht="29.25" customHeight="1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560.85935264663806</v>
      </c>
      <c r="G27" s="24">
        <f>($N$23/12*2)/$N$24*E27</f>
        <v>566.46794617310445</v>
      </c>
      <c r="H27" s="25">
        <f t="shared" si="0"/>
        <v>-5.6085935264663931</v>
      </c>
      <c r="I27" s="26"/>
      <c r="J27" s="26"/>
      <c r="L27" s="11" t="s">
        <v>291</v>
      </c>
      <c r="M27" s="323"/>
      <c r="N27" s="323"/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7941.7684334763935</v>
      </c>
      <c r="G28" s="24">
        <f t="shared" si="2"/>
        <v>8021.1861178111594</v>
      </c>
      <c r="H28" s="25">
        <f t="shared" si="0"/>
        <v>-79.417684334765909</v>
      </c>
      <c r="I28" s="26"/>
      <c r="J28" s="26"/>
    </row>
    <row r="29" spans="2:14" ht="204" x14ac:dyDescent="0.25">
      <c r="B29" s="29" t="s">
        <v>218</v>
      </c>
      <c r="C29" s="32" t="s">
        <v>204</v>
      </c>
      <c r="D29" s="22" t="s">
        <v>201</v>
      </c>
      <c r="E29" s="99">
        <v>5.61</v>
      </c>
      <c r="F29" s="23">
        <f t="shared" si="1"/>
        <v>37757.051620171675</v>
      </c>
      <c r="G29" s="24">
        <f t="shared" si="2"/>
        <v>38134.622136373393</v>
      </c>
      <c r="H29" s="25">
        <f t="shared" si="0"/>
        <v>-377.57051620171842</v>
      </c>
      <c r="I29" s="26"/>
      <c r="J29" s="26"/>
      <c r="K29" s="4"/>
      <c r="L29" s="3"/>
      <c r="M29" s="316"/>
      <c r="N29" s="316"/>
    </row>
    <row r="30" spans="2:14" ht="106.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1278.7593240343347</v>
      </c>
      <c r="G30" s="24">
        <f t="shared" ref="G30" si="3">$N$23/$N$24*E30</f>
        <v>1291.5469172746782</v>
      </c>
      <c r="H30" s="25">
        <f t="shared" si="0"/>
        <v>-12.78759324034354</v>
      </c>
      <c r="I30" s="26"/>
      <c r="J30" s="26"/>
    </row>
    <row r="31" spans="2:14" ht="56.25" customHeight="1" x14ac:dyDescent="0.25">
      <c r="B31" s="30" t="s">
        <v>206</v>
      </c>
      <c r="C31" s="8" t="s">
        <v>223</v>
      </c>
      <c r="D31" s="22" t="s">
        <v>201</v>
      </c>
      <c r="E31" s="99">
        <v>2.66</v>
      </c>
      <c r="F31" s="23">
        <v>22138.77</v>
      </c>
      <c r="G31" s="6">
        <v>34310</v>
      </c>
      <c r="H31" s="25">
        <f>F31-G31</f>
        <v>-12171.23</v>
      </c>
      <c r="I31" s="26"/>
      <c r="J31" s="26"/>
      <c r="L31" s="17"/>
    </row>
    <row r="32" spans="2:14" ht="16.5" thickBot="1" x14ac:dyDescent="0.3">
      <c r="B32" s="67" t="s">
        <v>186</v>
      </c>
      <c r="C32" s="52" t="s">
        <v>204</v>
      </c>
      <c r="D32" s="53" t="s">
        <v>201</v>
      </c>
      <c r="E32" s="100">
        <f>0.27+0.19</f>
        <v>0.46</v>
      </c>
      <c r="F32" s="23">
        <f t="shared" si="1"/>
        <v>3095.9436266094422</v>
      </c>
      <c r="G32" s="24">
        <f t="shared" ref="G32" si="4">$N$23/$N$24*E32</f>
        <v>3126.9030628755368</v>
      </c>
      <c r="H32" s="33">
        <f>F32-G32</f>
        <v>-30.959436266094599</v>
      </c>
      <c r="I32" s="26"/>
      <c r="J32" s="26"/>
    </row>
    <row r="33" spans="2:14" ht="16.5" thickBot="1" x14ac:dyDescent="0.3">
      <c r="B33" s="66" t="s">
        <v>190</v>
      </c>
      <c r="C33" s="55"/>
      <c r="D33" s="55"/>
      <c r="E33" s="101">
        <f>SUM(E24:E32)</f>
        <v>11.98</v>
      </c>
      <c r="F33" s="56">
        <f>SUM(F24:F32)</f>
        <v>82060.983236766799</v>
      </c>
      <c r="G33" s="57">
        <f>SUM(G24:G32)</f>
        <v>94831.435369134488</v>
      </c>
      <c r="H33" s="38">
        <f>SUM(H24:H32)</f>
        <v>-12770.452132367674</v>
      </c>
      <c r="I33" s="39"/>
      <c r="J33" s="39"/>
    </row>
    <row r="34" spans="2:14" x14ac:dyDescent="0.25">
      <c r="B34" s="17"/>
      <c r="C34" s="17"/>
      <c r="D34" s="17"/>
      <c r="E34" s="86"/>
      <c r="F34" s="86"/>
      <c r="G34" s="86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x14ac:dyDescent="0.25">
      <c r="B37" s="93" t="s">
        <v>15</v>
      </c>
      <c r="C37" s="222">
        <f>E37+G37</f>
        <v>570208.7432367669</v>
      </c>
      <c r="D37" s="223"/>
      <c r="E37" s="224">
        <f>F24+F25+F26+F27+F28+F29+F30+F32+E16</f>
        <v>455660.27323676687</v>
      </c>
      <c r="F37" s="225"/>
      <c r="G37" s="224">
        <f>F31+G16</f>
        <v>114548.47</v>
      </c>
      <c r="H37" s="226"/>
      <c r="I37" s="212"/>
      <c r="J37" s="212"/>
      <c r="K37" s="9"/>
      <c r="L37" s="9"/>
      <c r="M37" s="318"/>
    </row>
    <row r="38" spans="2:14" x14ac:dyDescent="0.25">
      <c r="B38" s="94" t="s">
        <v>16</v>
      </c>
      <c r="C38" s="220">
        <f>E38+G38</f>
        <v>570429.64999999991</v>
      </c>
      <c r="D38" s="221"/>
      <c r="E38" s="220">
        <f>E17+62940.1</f>
        <v>458345.44999999995</v>
      </c>
      <c r="F38" s="221"/>
      <c r="G38" s="220">
        <f>G17+22214.15</f>
        <v>112084.20000000001</v>
      </c>
      <c r="H38" s="251"/>
      <c r="I38" s="212"/>
      <c r="J38" s="212"/>
      <c r="K38" s="12"/>
      <c r="L38" s="9"/>
      <c r="M38" s="318"/>
    </row>
    <row r="39" spans="2:14" ht="16.5" thickBot="1" x14ac:dyDescent="0.3">
      <c r="B39" s="95" t="s">
        <v>189</v>
      </c>
      <c r="C39" s="227">
        <f>E39+G39</f>
        <v>622798.48096913449</v>
      </c>
      <c r="D39" s="228"/>
      <c r="E39" s="246">
        <f>G24+G25+G26+G27+G28+G29+G30+G32+E18</f>
        <v>469873.48096913454</v>
      </c>
      <c r="F39" s="247"/>
      <c r="G39" s="246">
        <f>G31+G18</f>
        <v>152925</v>
      </c>
      <c r="H39" s="252"/>
      <c r="I39" s="212"/>
      <c r="J39" s="212"/>
      <c r="K39" s="44"/>
      <c r="L39" s="44"/>
    </row>
    <row r="40" spans="2:14" ht="36.75" customHeight="1" thickBot="1" x14ac:dyDescent="0.3">
      <c r="B40" s="97" t="s">
        <v>298</v>
      </c>
      <c r="C40" s="216">
        <f>E40+G40</f>
        <v>-52368.830969134578</v>
      </c>
      <c r="D40" s="217"/>
      <c r="E40" s="248">
        <f>E38-E39</f>
        <v>-11528.03096913459</v>
      </c>
      <c r="F40" s="254"/>
      <c r="G40" s="248">
        <f>G38-G39</f>
        <v>-40840.799999999988</v>
      </c>
      <c r="H40" s="249"/>
      <c r="I40" s="212"/>
      <c r="J40" s="212"/>
      <c r="K40" s="44"/>
      <c r="L40" s="44"/>
    </row>
    <row r="41" spans="2:14" ht="34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205"/>
      <c r="I41" s="205"/>
      <c r="J41" s="205"/>
      <c r="K41" s="4"/>
      <c r="L41" s="4"/>
      <c r="M41" s="316"/>
      <c r="N41" s="316"/>
    </row>
    <row r="42" spans="2:14" ht="11.25" customHeight="1" x14ac:dyDescent="0.25">
      <c r="B42" s="205"/>
      <c r="C42" s="205"/>
      <c r="D42" s="205"/>
      <c r="E42" s="209"/>
      <c r="F42" s="231"/>
      <c r="G42" s="231"/>
      <c r="H42" s="210"/>
      <c r="I42" s="210"/>
      <c r="J42" s="210"/>
      <c r="K42" s="4"/>
      <c r="L42" s="4"/>
      <c r="M42" s="316"/>
      <c r="N42" s="316"/>
    </row>
    <row r="43" spans="2:14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205"/>
      <c r="I43" s="205"/>
      <c r="J43" s="205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0"/>
      <c r="G44" s="230"/>
      <c r="H44" s="205"/>
      <c r="I44" s="205"/>
      <c r="J44" s="205"/>
    </row>
    <row r="45" spans="2:14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205"/>
      <c r="I45" s="205"/>
      <c r="J45" s="205"/>
    </row>
    <row r="46" spans="2:14" ht="8.25" customHeight="1" x14ac:dyDescent="0.25">
      <c r="B46" s="45"/>
      <c r="C46" s="45"/>
      <c r="D46" s="45"/>
      <c r="E46" s="209"/>
      <c r="F46" s="46"/>
      <c r="G46" s="47"/>
      <c r="H46" s="48"/>
      <c r="I46" s="48"/>
      <c r="J46" s="48"/>
    </row>
    <row r="47" spans="2:14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5"/>
    </row>
    <row r="48" spans="2:14" ht="9.75" customHeight="1" x14ac:dyDescent="0.25">
      <c r="E48" s="209"/>
      <c r="H48" s="5"/>
    </row>
  </sheetData>
  <mergeCells count="54">
    <mergeCell ref="C17:D17"/>
    <mergeCell ref="C19:D19"/>
    <mergeCell ref="B1:H1"/>
    <mergeCell ref="B2:H3"/>
    <mergeCell ref="C16:D16"/>
    <mergeCell ref="D5:E5"/>
    <mergeCell ref="B14:H14"/>
    <mergeCell ref="E15:F15"/>
    <mergeCell ref="G15:H15"/>
    <mergeCell ref="E16:F16"/>
    <mergeCell ref="G16:H16"/>
    <mergeCell ref="E17:F17"/>
    <mergeCell ref="G17:H17"/>
    <mergeCell ref="C15:D15"/>
    <mergeCell ref="F45:G45"/>
    <mergeCell ref="E40:F40"/>
    <mergeCell ref="G40:H40"/>
    <mergeCell ref="F41:G41"/>
    <mergeCell ref="G37:H37"/>
    <mergeCell ref="E38:F38"/>
    <mergeCell ref="G38:H38"/>
    <mergeCell ref="E39:F39"/>
    <mergeCell ref="C41:E41"/>
    <mergeCell ref="C43:E43"/>
    <mergeCell ref="C45:E45"/>
    <mergeCell ref="N21:N22"/>
    <mergeCell ref="E18:F18"/>
    <mergeCell ref="G18:H18"/>
    <mergeCell ref="E19:F19"/>
    <mergeCell ref="G19:H19"/>
    <mergeCell ref="B21:H21"/>
    <mergeCell ref="B22:B23"/>
    <mergeCell ref="C22:C23"/>
    <mergeCell ref="D22:D23"/>
    <mergeCell ref="E22:E23"/>
    <mergeCell ref="F22:G22"/>
    <mergeCell ref="H22:H23"/>
    <mergeCell ref="C18:D18"/>
    <mergeCell ref="C47:E47"/>
    <mergeCell ref="M21:M22"/>
    <mergeCell ref="F47:G47"/>
    <mergeCell ref="F42:G42"/>
    <mergeCell ref="F43:G43"/>
    <mergeCell ref="F44:G44"/>
    <mergeCell ref="G39:H39"/>
    <mergeCell ref="C38:D38"/>
    <mergeCell ref="C39:D39"/>
    <mergeCell ref="C40:D40"/>
    <mergeCell ref="B35:H35"/>
    <mergeCell ref="E36:F36"/>
    <mergeCell ref="G36:H36"/>
    <mergeCell ref="E37:F37"/>
    <mergeCell ref="C36:D36"/>
    <mergeCell ref="C37:D37"/>
  </mergeCells>
  <pageMargins left="0.89" right="0.19685039370078741" top="0.19685039370078741" bottom="0.23622047244094491" header="0.15748031496062992" footer="0.25"/>
  <pageSetup paperSize="9" scale="4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9"/>
  <sheetViews>
    <sheetView topLeftCell="A23" zoomScale="110" zoomScaleNormal="110" workbookViewId="0">
      <selection activeCell="L23" sqref="L1:N1048576"/>
    </sheetView>
  </sheetViews>
  <sheetFormatPr defaultColWidth="9.140625" defaultRowHeight="15.75" outlineLevelRow="1" x14ac:dyDescent="0.25"/>
  <cols>
    <col min="1" max="1" width="2.85546875" style="5" customWidth="1"/>
    <col min="2" max="2" width="55.85546875" style="5" customWidth="1"/>
    <col min="3" max="3" width="16" style="86" customWidth="1"/>
    <col min="4" max="4" width="9.42578125" style="82" customWidth="1"/>
    <col min="5" max="5" width="10" style="82" customWidth="1"/>
    <col min="6" max="6" width="9.7109375" style="5" customWidth="1"/>
    <col min="7" max="7" width="10.42578125" style="5" customWidth="1"/>
    <col min="8" max="8" width="10.7109375" style="82" customWidth="1"/>
    <col min="9" max="9" width="10.7109375" style="5" bestFit="1" customWidth="1"/>
    <col min="10" max="10" width="11.7109375" style="5" customWidth="1"/>
    <col min="11" max="11" width="9.140625" style="5"/>
    <col min="12" max="12" width="12.140625" style="310" customWidth="1"/>
    <col min="13" max="13" width="17.140625" style="310" customWidth="1"/>
    <col min="14" max="14" width="17.5703125" style="310" customWidth="1"/>
    <col min="15" max="16384" width="9.140625" style="5"/>
  </cols>
  <sheetData>
    <row r="1" spans="1:10" x14ac:dyDescent="0.25">
      <c r="B1" s="233" t="s">
        <v>300</v>
      </c>
      <c r="C1" s="233"/>
      <c r="D1" s="233"/>
      <c r="E1" s="233"/>
      <c r="F1" s="233"/>
      <c r="G1" s="233"/>
      <c r="H1" s="233"/>
    </row>
    <row r="2" spans="1:10" x14ac:dyDescent="0.25">
      <c r="B2" s="233" t="s">
        <v>213</v>
      </c>
      <c r="C2" s="233"/>
      <c r="D2" s="233"/>
      <c r="E2" s="233"/>
      <c r="F2" s="233"/>
      <c r="G2" s="233"/>
      <c r="H2" s="233"/>
    </row>
    <row r="3" spans="1:10" x14ac:dyDescent="0.25">
      <c r="B3" s="233" t="s">
        <v>305</v>
      </c>
      <c r="C3" s="233"/>
      <c r="D3" s="233"/>
      <c r="E3" s="233"/>
      <c r="F3" s="233"/>
      <c r="G3" s="233"/>
      <c r="H3" s="233"/>
    </row>
    <row r="4" spans="1:10" x14ac:dyDescent="0.25">
      <c r="B4" s="233" t="s">
        <v>328</v>
      </c>
      <c r="C4" s="233"/>
      <c r="D4" s="233"/>
      <c r="E4" s="233"/>
      <c r="F4" s="233"/>
      <c r="G4" s="233"/>
      <c r="H4" s="233"/>
    </row>
    <row r="5" spans="1:10" ht="22.5" customHeight="1" x14ac:dyDescent="0.35">
      <c r="A5" s="59"/>
      <c r="B5" s="265" t="s">
        <v>329</v>
      </c>
      <c r="C5" s="265"/>
      <c r="D5" s="265"/>
      <c r="E5" s="265"/>
      <c r="F5" s="265"/>
      <c r="G5" s="265"/>
      <c r="H5" s="265"/>
      <c r="I5" s="59"/>
      <c r="J5" s="59"/>
    </row>
    <row r="6" spans="1:10" ht="13.5" customHeight="1" x14ac:dyDescent="0.25">
      <c r="B6" s="265"/>
      <c r="C6" s="265"/>
      <c r="D6" s="265"/>
      <c r="E6" s="265"/>
      <c r="F6" s="265"/>
      <c r="G6" s="265"/>
      <c r="H6" s="265"/>
    </row>
    <row r="7" spans="1:10" ht="13.5" customHeight="1" x14ac:dyDescent="0.35">
      <c r="B7" s="114"/>
      <c r="C7" s="114"/>
      <c r="D7" s="114"/>
      <c r="E7" s="114"/>
      <c r="F7" s="114"/>
      <c r="G7" s="114"/>
      <c r="H7" s="114"/>
    </row>
    <row r="8" spans="1:10" x14ac:dyDescent="0.25">
      <c r="B8" s="108" t="s">
        <v>0</v>
      </c>
      <c r="C8" s="109"/>
      <c r="D8" s="261" t="s">
        <v>304</v>
      </c>
      <c r="E8" s="261"/>
    </row>
    <row r="9" spans="1:10" x14ac:dyDescent="0.25">
      <c r="B9" s="108" t="s">
        <v>1</v>
      </c>
      <c r="C9" s="109"/>
      <c r="D9" s="115">
        <v>1977</v>
      </c>
      <c r="E9" s="115"/>
    </row>
    <row r="10" spans="1:10" ht="15.75" hidden="1" customHeight="1" outlineLevel="1" x14ac:dyDescent="0.25">
      <c r="B10" s="108" t="s">
        <v>2</v>
      </c>
      <c r="C10" s="109"/>
      <c r="D10" s="115">
        <v>5</v>
      </c>
      <c r="E10" s="115"/>
    </row>
    <row r="11" spans="1:10" ht="15.75" hidden="1" customHeight="1" outlineLevel="1" x14ac:dyDescent="0.25">
      <c r="B11" s="108" t="s">
        <v>3</v>
      </c>
      <c r="C11" s="109"/>
      <c r="D11" s="115">
        <v>56</v>
      </c>
      <c r="E11" s="115"/>
    </row>
    <row r="12" spans="1:10" ht="30.75" hidden="1" customHeight="1" outlineLevel="1" x14ac:dyDescent="0.25">
      <c r="B12" s="110" t="s">
        <v>4</v>
      </c>
      <c r="C12" s="111"/>
      <c r="D12" s="115" t="s">
        <v>68</v>
      </c>
      <c r="E12" s="115"/>
    </row>
    <row r="13" spans="1:10" collapsed="1" x14ac:dyDescent="0.25">
      <c r="B13" s="108" t="s">
        <v>5</v>
      </c>
      <c r="C13" s="109"/>
      <c r="D13" s="115" t="s">
        <v>246</v>
      </c>
      <c r="E13" s="115"/>
      <c r="I13" s="17"/>
    </row>
    <row r="14" spans="1:10" ht="15.75" hidden="1" customHeight="1" outlineLevel="1" x14ac:dyDescent="0.25">
      <c r="B14" s="5" t="s">
        <v>6</v>
      </c>
      <c r="D14" s="113" t="s">
        <v>292</v>
      </c>
      <c r="E14" s="113"/>
    </row>
    <row r="15" spans="1:10" ht="30.75" hidden="1" customHeight="1" outlineLevel="1" x14ac:dyDescent="0.25">
      <c r="B15" s="14" t="s">
        <v>7</v>
      </c>
      <c r="C15" s="58"/>
      <c r="D15" s="91" t="s">
        <v>69</v>
      </c>
      <c r="E15" s="113"/>
      <c r="I15" s="17"/>
    </row>
    <row r="16" spans="1:10" ht="10.5" customHeight="1" collapsed="1" x14ac:dyDescent="0.25">
      <c r="B16" s="14"/>
      <c r="C16" s="58"/>
      <c r="D16" s="91"/>
      <c r="E16" s="113"/>
      <c r="I16" s="17"/>
    </row>
    <row r="17" spans="2:15" ht="16.5" thickBot="1" x14ac:dyDescent="0.3">
      <c r="B17" s="260" t="s">
        <v>313</v>
      </c>
      <c r="C17" s="260"/>
      <c r="D17" s="260"/>
      <c r="E17" s="260"/>
      <c r="F17" s="260"/>
      <c r="G17" s="260"/>
      <c r="H17" s="260"/>
      <c r="I17" s="17"/>
    </row>
    <row r="18" spans="2:15" ht="43.5" customHeight="1" thickBot="1" x14ac:dyDescent="0.3">
      <c r="B18" s="92" t="s">
        <v>311</v>
      </c>
      <c r="C18" s="266" t="s">
        <v>207</v>
      </c>
      <c r="D18" s="267"/>
      <c r="E18" s="257" t="s">
        <v>8</v>
      </c>
      <c r="F18" s="258"/>
      <c r="G18" s="257" t="s">
        <v>9</v>
      </c>
      <c r="H18" s="259"/>
      <c r="I18" s="17"/>
    </row>
    <row r="19" spans="2:15" x14ac:dyDescent="0.25">
      <c r="B19" s="93" t="s">
        <v>15</v>
      </c>
      <c r="C19" s="222">
        <v>3505236.3121081078</v>
      </c>
      <c r="D19" s="253"/>
      <c r="E19" s="224">
        <v>2523353.5578918918</v>
      </c>
      <c r="F19" s="225"/>
      <c r="G19" s="224">
        <v>981882.75421621627</v>
      </c>
      <c r="H19" s="226"/>
      <c r="I19" s="17"/>
    </row>
    <row r="20" spans="2:15" x14ac:dyDescent="0.25">
      <c r="B20" s="94" t="s">
        <v>16</v>
      </c>
      <c r="C20" s="220">
        <v>3243762.67</v>
      </c>
      <c r="D20" s="268"/>
      <c r="E20" s="220">
        <v>2385715.5329324324</v>
      </c>
      <c r="F20" s="221"/>
      <c r="G20" s="220">
        <v>858047.13706756756</v>
      </c>
      <c r="H20" s="251"/>
      <c r="I20" s="17"/>
    </row>
    <row r="21" spans="2:15" x14ac:dyDescent="0.25">
      <c r="B21" s="95" t="s">
        <v>189</v>
      </c>
      <c r="C21" s="246">
        <v>3086393.8312999997</v>
      </c>
      <c r="D21" s="269"/>
      <c r="E21" s="246">
        <v>2460323.8312999997</v>
      </c>
      <c r="F21" s="247"/>
      <c r="G21" s="246">
        <v>626070</v>
      </c>
      <c r="H21" s="252"/>
      <c r="I21" s="17"/>
    </row>
    <row r="22" spans="2:15" ht="16.5" thickBot="1" x14ac:dyDescent="0.3">
      <c r="B22" s="96" t="s">
        <v>226</v>
      </c>
      <c r="C22" s="246">
        <v>10800</v>
      </c>
      <c r="D22" s="269"/>
      <c r="E22" s="227">
        <v>10800</v>
      </c>
      <c r="F22" s="228"/>
      <c r="G22" s="227">
        <v>0</v>
      </c>
      <c r="H22" s="250"/>
      <c r="I22" s="17"/>
    </row>
    <row r="23" spans="2:15" ht="32.25" customHeight="1" thickBot="1" x14ac:dyDescent="0.3">
      <c r="B23" s="97" t="s">
        <v>297</v>
      </c>
      <c r="C23" s="216">
        <f>E23+G23</f>
        <v>168168.8387000002</v>
      </c>
      <c r="D23" s="217"/>
      <c r="E23" s="248">
        <f>E20+E22-E21</f>
        <v>-63808.29836756736</v>
      </c>
      <c r="F23" s="254"/>
      <c r="G23" s="248">
        <f>G20-G21</f>
        <v>231977.13706756756</v>
      </c>
      <c r="H23" s="249"/>
      <c r="I23" s="17"/>
    </row>
    <row r="24" spans="2:15" x14ac:dyDescent="0.25">
      <c r="B24" s="14"/>
      <c r="C24" s="64"/>
      <c r="D24" s="91"/>
      <c r="E24" s="113"/>
      <c r="F24" s="82"/>
      <c r="I24" s="17"/>
    </row>
    <row r="25" spans="2:15" ht="29.25" customHeight="1" thickBot="1" x14ac:dyDescent="0.3">
      <c r="B25" s="262" t="s">
        <v>324</v>
      </c>
      <c r="C25" s="262"/>
      <c r="D25" s="262"/>
      <c r="E25" s="262"/>
      <c r="F25" s="262"/>
      <c r="G25" s="262"/>
      <c r="H25" s="262"/>
      <c r="L25" s="321"/>
      <c r="M25" s="312" t="s">
        <v>301</v>
      </c>
      <c r="N25" s="312" t="s">
        <v>302</v>
      </c>
    </row>
    <row r="26" spans="2:15" ht="35.25" customHeight="1" x14ac:dyDescent="0.25">
      <c r="B26" s="263" t="s">
        <v>196</v>
      </c>
      <c r="C26" s="237" t="s">
        <v>197</v>
      </c>
      <c r="D26" s="237" t="s">
        <v>210</v>
      </c>
      <c r="E26" s="239" t="s">
        <v>325</v>
      </c>
      <c r="F26" s="241" t="s">
        <v>199</v>
      </c>
      <c r="G26" s="242"/>
      <c r="H26" s="243" t="s">
        <v>227</v>
      </c>
      <c r="L26" s="321"/>
      <c r="M26" s="313"/>
      <c r="N26" s="313"/>
    </row>
    <row r="27" spans="2:15" ht="40.5" customHeight="1" thickBot="1" x14ac:dyDescent="0.3">
      <c r="B27" s="264"/>
      <c r="C27" s="238"/>
      <c r="D27" s="238"/>
      <c r="E27" s="240"/>
      <c r="F27" s="19" t="s">
        <v>187</v>
      </c>
      <c r="G27" s="20" t="s">
        <v>188</v>
      </c>
      <c r="H27" s="244"/>
      <c r="M27" s="315">
        <v>317898.23999999999</v>
      </c>
      <c r="N27" s="314">
        <f>M27*1.01</f>
        <v>321077.22239999997</v>
      </c>
    </row>
    <row r="28" spans="2:15" ht="55.5" customHeight="1" x14ac:dyDescent="0.25">
      <c r="B28" s="21" t="s">
        <v>191</v>
      </c>
      <c r="C28" s="32" t="s">
        <v>200</v>
      </c>
      <c r="D28" s="22" t="s">
        <v>201</v>
      </c>
      <c r="E28" s="98">
        <v>1.06</v>
      </c>
      <c r="F28" s="23">
        <f>$M$27/$M$28*E28</f>
        <v>31849.918185255196</v>
      </c>
      <c r="G28" s="24">
        <f>$N$27/$N$28*E28</f>
        <v>32168.417367107744</v>
      </c>
      <c r="H28" s="25">
        <f>F28-G28</f>
        <v>-318.49918185254865</v>
      </c>
      <c r="I28" s="60"/>
      <c r="J28" s="27"/>
      <c r="K28" s="27"/>
      <c r="L28" s="322"/>
      <c r="M28" s="315">
        <f>E38-E35</f>
        <v>10.580000000000002</v>
      </c>
      <c r="N28" s="315">
        <f>E38-E35</f>
        <v>10.580000000000002</v>
      </c>
      <c r="O28" s="27"/>
    </row>
    <row r="29" spans="2:15" ht="51" x14ac:dyDescent="0.25">
      <c r="B29" s="29" t="s">
        <v>202</v>
      </c>
      <c r="C29" s="32" t="s">
        <v>200</v>
      </c>
      <c r="D29" s="22" t="s">
        <v>201</v>
      </c>
      <c r="E29" s="99">
        <v>1.19</v>
      </c>
      <c r="F29" s="23">
        <f t="shared" ref="F29:F37" si="0">$M$27/$M$28*E29</f>
        <v>35756.040226843092</v>
      </c>
      <c r="G29" s="24">
        <f t="shared" ref="G29:G33" si="1">$N$27/$N$28*E29</f>
        <v>36113.600629111519</v>
      </c>
      <c r="H29" s="25">
        <f t="shared" ref="H29:H34" si="2">F29-G29</f>
        <v>-357.56040226842742</v>
      </c>
      <c r="I29" s="61"/>
      <c r="J29" s="4"/>
      <c r="K29" s="4"/>
      <c r="L29" s="323" t="s">
        <v>289</v>
      </c>
      <c r="M29" s="318">
        <f>M30/14.8*M28</f>
        <v>0</v>
      </c>
      <c r="N29" s="318">
        <f>N30/14.8*N28</f>
        <v>0</v>
      </c>
      <c r="O29" s="4"/>
    </row>
    <row r="30" spans="2:15" ht="50.25" customHeight="1" x14ac:dyDescent="0.25">
      <c r="B30" s="30" t="s">
        <v>184</v>
      </c>
      <c r="C30" s="32" t="s">
        <v>200</v>
      </c>
      <c r="D30" s="22" t="s">
        <v>201</v>
      </c>
      <c r="E30" s="99">
        <v>0.32</v>
      </c>
      <c r="F30" s="23">
        <f t="shared" si="0"/>
        <v>9615.0696408317563</v>
      </c>
      <c r="G30" s="24">
        <f t="shared" si="1"/>
        <v>9711.2203372400727</v>
      </c>
      <c r="H30" s="25">
        <f t="shared" si="2"/>
        <v>-96.150696408316435</v>
      </c>
      <c r="I30" s="44"/>
      <c r="L30" s="323" t="s">
        <v>290</v>
      </c>
      <c r="M30" s="323"/>
      <c r="N30" s="323"/>
    </row>
    <row r="31" spans="2:15" ht="25.5" x14ac:dyDescent="0.25">
      <c r="B31" s="30" t="s">
        <v>185</v>
      </c>
      <c r="C31" s="31" t="s">
        <v>203</v>
      </c>
      <c r="D31" s="22" t="s">
        <v>201</v>
      </c>
      <c r="E31" s="99">
        <v>0.16</v>
      </c>
      <c r="F31" s="23">
        <f t="shared" si="0"/>
        <v>4807.5348204158781</v>
      </c>
      <c r="G31" s="24">
        <f t="shared" si="1"/>
        <v>4855.6101686200363</v>
      </c>
      <c r="H31" s="25">
        <f t="shared" si="2"/>
        <v>-48.075348204158217</v>
      </c>
      <c r="I31" s="44"/>
      <c r="L31" s="318" t="s">
        <v>291</v>
      </c>
      <c r="M31" s="318">
        <f>M30-M29</f>
        <v>0</v>
      </c>
      <c r="N31" s="318">
        <f>N30-N29</f>
        <v>0</v>
      </c>
    </row>
    <row r="32" spans="2:15" ht="51" x14ac:dyDescent="0.25">
      <c r="B32" s="29" t="s">
        <v>192</v>
      </c>
      <c r="C32" s="32" t="s">
        <v>200</v>
      </c>
      <c r="D32" s="22" t="s">
        <v>201</v>
      </c>
      <c r="E32" s="99">
        <v>1.18</v>
      </c>
      <c r="F32" s="23">
        <f t="shared" si="0"/>
        <v>35455.569300567098</v>
      </c>
      <c r="G32" s="24">
        <f t="shared" si="1"/>
        <v>35810.124993572768</v>
      </c>
      <c r="H32" s="25">
        <f t="shared" si="2"/>
        <v>-354.55569300567004</v>
      </c>
      <c r="I32" s="44"/>
    </row>
    <row r="33" spans="2:15" ht="216" customHeight="1" x14ac:dyDescent="0.25">
      <c r="B33" s="29" t="s">
        <v>218</v>
      </c>
      <c r="C33" s="32" t="s">
        <v>204</v>
      </c>
      <c r="D33" s="22" t="s">
        <v>201</v>
      </c>
      <c r="E33" s="99">
        <v>5.61</v>
      </c>
      <c r="F33" s="23">
        <f t="shared" si="0"/>
        <v>168564.18964083173</v>
      </c>
      <c r="G33" s="24">
        <f t="shared" si="1"/>
        <v>170249.83153724004</v>
      </c>
      <c r="H33" s="25">
        <f t="shared" si="2"/>
        <v>-1685.6418964083132</v>
      </c>
      <c r="I33" s="61"/>
      <c r="J33" s="4"/>
      <c r="K33" s="4"/>
      <c r="L33" s="324"/>
      <c r="M33" s="316"/>
      <c r="N33" s="316"/>
    </row>
    <row r="34" spans="2:15" ht="102" x14ac:dyDescent="0.25">
      <c r="B34" s="29" t="s">
        <v>205</v>
      </c>
      <c r="C34" s="32" t="s">
        <v>200</v>
      </c>
      <c r="D34" s="22" t="s">
        <v>201</v>
      </c>
      <c r="E34" s="99">
        <v>0.24</v>
      </c>
      <c r="F34" s="23">
        <f t="shared" si="0"/>
        <v>7211.3022306238172</v>
      </c>
      <c r="G34" s="24">
        <f t="shared" ref="G34:G36" si="3">$N$27/$N$28*E34</f>
        <v>7283.4152529300545</v>
      </c>
      <c r="H34" s="25">
        <f t="shared" si="2"/>
        <v>-72.113022306237326</v>
      </c>
      <c r="I34" s="44"/>
    </row>
    <row r="35" spans="2:15" ht="50.25" customHeight="1" x14ac:dyDescent="0.25">
      <c r="B35" s="30" t="s">
        <v>206</v>
      </c>
      <c r="C35" s="32" t="s">
        <v>200</v>
      </c>
      <c r="D35" s="22" t="s">
        <v>201</v>
      </c>
      <c r="E35" s="99">
        <v>4.22</v>
      </c>
      <c r="F35" s="23">
        <f>M31+126798.73</f>
        <v>126798.73</v>
      </c>
      <c r="G35" s="6">
        <v>31015</v>
      </c>
      <c r="H35" s="25">
        <f>F35-G35</f>
        <v>95783.73</v>
      </c>
      <c r="I35" s="44"/>
      <c r="L35" s="321"/>
    </row>
    <row r="36" spans="2:15" x14ac:dyDescent="0.25">
      <c r="B36" s="30" t="s">
        <v>193</v>
      </c>
      <c r="C36" s="31" t="s">
        <v>203</v>
      </c>
      <c r="D36" s="22" t="s">
        <v>201</v>
      </c>
      <c r="E36" s="99">
        <v>0.32</v>
      </c>
      <c r="F36" s="23">
        <f>$M$27/$M$28*E36</f>
        <v>9615.0696408317563</v>
      </c>
      <c r="G36" s="24">
        <f t="shared" si="3"/>
        <v>9711.2203372400727</v>
      </c>
      <c r="H36" s="71">
        <f>F36-G36</f>
        <v>-96.150696408316435</v>
      </c>
      <c r="I36" s="44"/>
      <c r="J36" s="72"/>
      <c r="K36" s="72"/>
      <c r="L36" s="321"/>
    </row>
    <row r="37" spans="2:15" ht="16.5" thickBot="1" x14ac:dyDescent="0.3">
      <c r="B37" s="51" t="s">
        <v>186</v>
      </c>
      <c r="C37" s="52" t="s">
        <v>204</v>
      </c>
      <c r="D37" s="53" t="s">
        <v>201</v>
      </c>
      <c r="E37" s="103">
        <v>0.5</v>
      </c>
      <c r="F37" s="23">
        <f t="shared" si="0"/>
        <v>15023.546313799619</v>
      </c>
      <c r="G37" s="24">
        <f t="shared" ref="G37" si="4">$N$27/$N$28*E37</f>
        <v>15173.781776937614</v>
      </c>
      <c r="H37" s="33">
        <f>F37-G37</f>
        <v>-150.23546313799488</v>
      </c>
      <c r="I37" s="44"/>
    </row>
    <row r="38" spans="2:15" ht="16.5" thickBot="1" x14ac:dyDescent="0.3">
      <c r="B38" s="54" t="s">
        <v>190</v>
      </c>
      <c r="C38" s="55"/>
      <c r="D38" s="55"/>
      <c r="E38" s="101">
        <f>SUM(E28:E37)</f>
        <v>14.8</v>
      </c>
      <c r="F38" s="56">
        <f>SUM(F28:F37)</f>
        <v>444696.96999999991</v>
      </c>
      <c r="G38" s="57">
        <f>SUM(G28:G37)</f>
        <v>352092.22239999991</v>
      </c>
      <c r="H38" s="38">
        <f>SUM(H28:H37)</f>
        <v>92604.747600000002</v>
      </c>
      <c r="I38" s="44"/>
    </row>
    <row r="39" spans="2:15" x14ac:dyDescent="0.25">
      <c r="B39" s="17"/>
      <c r="C39" s="17"/>
      <c r="D39" s="17"/>
      <c r="E39" s="86"/>
      <c r="F39" s="125"/>
      <c r="G39" s="109"/>
      <c r="O39" s="82"/>
    </row>
    <row r="40" spans="2:15" ht="16.5" customHeight="1" thickBot="1" x14ac:dyDescent="0.3">
      <c r="B40" s="260" t="s">
        <v>326</v>
      </c>
      <c r="C40" s="260"/>
      <c r="D40" s="260"/>
      <c r="E40" s="260"/>
      <c r="F40" s="260"/>
      <c r="G40" s="260"/>
      <c r="H40" s="260"/>
      <c r="I40" s="73"/>
      <c r="J40" s="73"/>
    </row>
    <row r="41" spans="2:15" ht="51" customHeight="1" thickBot="1" x14ac:dyDescent="0.3">
      <c r="B41" s="92" t="s">
        <v>327</v>
      </c>
      <c r="C41" s="266" t="s">
        <v>207</v>
      </c>
      <c r="D41" s="267"/>
      <c r="E41" s="257" t="s">
        <v>8</v>
      </c>
      <c r="F41" s="258"/>
      <c r="G41" s="257" t="s">
        <v>9</v>
      </c>
      <c r="H41" s="259"/>
      <c r="I41" s="74"/>
      <c r="J41" s="75"/>
      <c r="K41" s="42"/>
      <c r="L41" s="319"/>
      <c r="M41" s="317"/>
      <c r="N41" s="317"/>
    </row>
    <row r="42" spans="2:15" x14ac:dyDescent="0.25">
      <c r="B42" s="93" t="s">
        <v>15</v>
      </c>
      <c r="C42" s="222">
        <f>E42+G42</f>
        <v>3949933.2821081076</v>
      </c>
      <c r="D42" s="223"/>
      <c r="E42" s="224">
        <f>F28+F29+F30+F31+F32+F33+F34+F36+F37+E19</f>
        <v>2841251.7978918916</v>
      </c>
      <c r="F42" s="225"/>
      <c r="G42" s="224">
        <f>F35+G19+M31</f>
        <v>1108681.4842162163</v>
      </c>
      <c r="H42" s="226"/>
      <c r="I42" s="76"/>
      <c r="J42" s="77"/>
      <c r="K42" s="9"/>
      <c r="L42" s="320"/>
      <c r="M42" s="318"/>
    </row>
    <row r="43" spans="2:15" x14ac:dyDescent="0.25">
      <c r="B43" s="94" t="s">
        <v>16</v>
      </c>
      <c r="C43" s="220">
        <f>E43+G43</f>
        <v>3734121.0399999996</v>
      </c>
      <c r="D43" s="221"/>
      <c r="E43" s="220">
        <f>E20+N29+350539.97</f>
        <v>2736255.5029324321</v>
      </c>
      <c r="F43" s="221"/>
      <c r="G43" s="220">
        <f>G20+N31+139818.4</f>
        <v>997865.53706756758</v>
      </c>
      <c r="H43" s="251"/>
      <c r="I43" s="76"/>
      <c r="J43" s="77"/>
      <c r="K43" s="12"/>
      <c r="L43" s="320"/>
      <c r="M43" s="318"/>
    </row>
    <row r="44" spans="2:15" x14ac:dyDescent="0.25">
      <c r="B44" s="95" t="s">
        <v>189</v>
      </c>
      <c r="C44" s="220">
        <f>E44+G44</f>
        <v>3438486.0536999996</v>
      </c>
      <c r="D44" s="221"/>
      <c r="E44" s="246">
        <f>G28+G29+G30+G31+G32+G33+G34+G36+G37+E21</f>
        <v>2781401.0536999996</v>
      </c>
      <c r="F44" s="247"/>
      <c r="G44" s="246">
        <f>G35+G21</f>
        <v>657085</v>
      </c>
      <c r="H44" s="252"/>
      <c r="I44" s="76"/>
      <c r="J44" s="77"/>
      <c r="K44" s="44"/>
      <c r="L44" s="325"/>
    </row>
    <row r="45" spans="2:15" ht="16.5" thickBot="1" x14ac:dyDescent="0.3">
      <c r="B45" s="96" t="s">
        <v>226</v>
      </c>
      <c r="C45" s="227">
        <f>E45+G45</f>
        <v>14400</v>
      </c>
      <c r="D45" s="228"/>
      <c r="E45" s="227">
        <f>E22+3600</f>
        <v>14400</v>
      </c>
      <c r="F45" s="228"/>
      <c r="G45" s="227">
        <v>0</v>
      </c>
      <c r="H45" s="250"/>
      <c r="I45" s="76"/>
      <c r="J45" s="77"/>
      <c r="K45" s="44"/>
      <c r="L45" s="325"/>
    </row>
    <row r="46" spans="2:15" ht="28.5" customHeight="1" thickBot="1" x14ac:dyDescent="0.3">
      <c r="B46" s="97" t="s">
        <v>298</v>
      </c>
      <c r="C46" s="216">
        <f>E46+G46</f>
        <v>310034.98630000011</v>
      </c>
      <c r="D46" s="217"/>
      <c r="E46" s="248">
        <f>E43+E45-E44</f>
        <v>-30745.550767567474</v>
      </c>
      <c r="F46" s="254"/>
      <c r="G46" s="248">
        <f>G43-G44</f>
        <v>340780.53706756758</v>
      </c>
      <c r="H46" s="249"/>
      <c r="I46" s="76"/>
      <c r="J46" s="77"/>
      <c r="K46" s="44"/>
      <c r="L46" s="325"/>
    </row>
    <row r="47" spans="2:15" ht="35.25" customHeight="1" x14ac:dyDescent="0.25">
      <c r="B47" s="138" t="s">
        <v>180</v>
      </c>
      <c r="C47" s="232" t="s">
        <v>308</v>
      </c>
      <c r="D47" s="232"/>
      <c r="E47" s="232"/>
      <c r="F47" s="230" t="s">
        <v>10</v>
      </c>
      <c r="G47" s="230"/>
      <c r="H47" s="78"/>
      <c r="I47" s="78"/>
      <c r="J47" s="4"/>
      <c r="K47" s="4"/>
      <c r="L47" s="316"/>
      <c r="M47" s="316"/>
      <c r="N47" s="316"/>
      <c r="O47" s="4"/>
    </row>
    <row r="48" spans="2:15" ht="10.5" customHeight="1" x14ac:dyDescent="0.25">
      <c r="B48" s="138"/>
      <c r="C48" s="138"/>
      <c r="D48" s="138"/>
      <c r="E48" s="137"/>
      <c r="F48" s="231"/>
      <c r="G48" s="231"/>
      <c r="H48" s="78"/>
      <c r="I48" s="78"/>
      <c r="J48" s="4"/>
      <c r="K48" s="4"/>
      <c r="L48" s="316"/>
      <c r="M48" s="316"/>
      <c r="N48" s="316"/>
      <c r="O48" s="4"/>
    </row>
    <row r="49" spans="2:15" x14ac:dyDescent="0.25">
      <c r="B49" s="138" t="s">
        <v>181</v>
      </c>
      <c r="C49" s="232" t="s">
        <v>308</v>
      </c>
      <c r="D49" s="232"/>
      <c r="E49" s="232"/>
      <c r="F49" s="230" t="s">
        <v>208</v>
      </c>
      <c r="G49" s="230"/>
      <c r="H49" s="78"/>
      <c r="I49" s="78"/>
      <c r="J49" s="4"/>
      <c r="K49" s="4"/>
      <c r="L49" s="316"/>
      <c r="M49" s="316"/>
      <c r="N49" s="316"/>
      <c r="O49" s="4"/>
    </row>
    <row r="50" spans="2:15" ht="8.25" customHeight="1" x14ac:dyDescent="0.25">
      <c r="B50" s="138"/>
      <c r="C50" s="138"/>
      <c r="D50" s="138"/>
      <c r="E50" s="137"/>
      <c r="F50" s="230"/>
      <c r="G50" s="230"/>
      <c r="H50" s="78"/>
      <c r="I50" s="78"/>
    </row>
    <row r="51" spans="2:15" x14ac:dyDescent="0.25">
      <c r="B51" s="138" t="s">
        <v>182</v>
      </c>
      <c r="C51" s="232" t="s">
        <v>308</v>
      </c>
      <c r="D51" s="232"/>
      <c r="E51" s="232"/>
      <c r="F51" s="230" t="s">
        <v>209</v>
      </c>
      <c r="G51" s="230"/>
      <c r="H51" s="78"/>
      <c r="I51" s="78"/>
    </row>
    <row r="52" spans="2:15" ht="10.5" customHeight="1" x14ac:dyDescent="0.25">
      <c r="B52" s="45"/>
      <c r="C52" s="45"/>
      <c r="D52" s="45"/>
      <c r="E52" s="137"/>
      <c r="F52" s="46"/>
      <c r="G52" s="47"/>
      <c r="H52" s="48"/>
      <c r="I52" s="10"/>
    </row>
    <row r="53" spans="2:15" x14ac:dyDescent="0.25">
      <c r="B53" s="138" t="s">
        <v>183</v>
      </c>
      <c r="C53" s="232" t="s">
        <v>308</v>
      </c>
      <c r="D53" s="232"/>
      <c r="E53" s="232"/>
      <c r="F53" s="230" t="s">
        <v>209</v>
      </c>
      <c r="G53" s="230"/>
      <c r="H53" s="78"/>
      <c r="I53" s="78"/>
    </row>
    <row r="54" spans="2:15" ht="12" customHeight="1" x14ac:dyDescent="0.25">
      <c r="B54" s="49"/>
      <c r="C54" s="49"/>
      <c r="D54" s="49"/>
      <c r="E54" s="112"/>
      <c r="F54" s="229"/>
      <c r="G54" s="229"/>
      <c r="I54" s="82"/>
    </row>
    <row r="55" spans="2:15" x14ac:dyDescent="0.25">
      <c r="B55" s="49"/>
      <c r="C55" s="49"/>
      <c r="D55" s="87"/>
      <c r="E55" s="87"/>
      <c r="F55" s="88"/>
      <c r="G55" s="88"/>
    </row>
    <row r="56" spans="2:15" x14ac:dyDescent="0.25">
      <c r="C56" s="13"/>
      <c r="D56" s="86"/>
      <c r="H56" s="5"/>
    </row>
    <row r="57" spans="2:15" x14ac:dyDescent="0.25">
      <c r="C57" s="13"/>
      <c r="D57" s="86"/>
      <c r="H57" s="5"/>
    </row>
    <row r="58" spans="2:15" x14ac:dyDescent="0.25">
      <c r="C58" s="13"/>
      <c r="H58" s="5"/>
    </row>
    <row r="59" spans="2:15" x14ac:dyDescent="0.25">
      <c r="C59" s="13"/>
      <c r="H59" s="5"/>
    </row>
  </sheetData>
  <mergeCells count="64">
    <mergeCell ref="C20:D20"/>
    <mergeCell ref="C21:D21"/>
    <mergeCell ref="C22:D22"/>
    <mergeCell ref="C45:D45"/>
    <mergeCell ref="C46:D46"/>
    <mergeCell ref="C23:D23"/>
    <mergeCell ref="C41:D41"/>
    <mergeCell ref="C42:D42"/>
    <mergeCell ref="C43:D43"/>
    <mergeCell ref="C44:D44"/>
    <mergeCell ref="B5:H6"/>
    <mergeCell ref="B17:H17"/>
    <mergeCell ref="E18:F18"/>
    <mergeCell ref="G18:H18"/>
    <mergeCell ref="E19:F19"/>
    <mergeCell ref="C18:D18"/>
    <mergeCell ref="C19:D19"/>
    <mergeCell ref="B1:H1"/>
    <mergeCell ref="B40:H40"/>
    <mergeCell ref="D26:D27"/>
    <mergeCell ref="E26:E27"/>
    <mergeCell ref="F26:G26"/>
    <mergeCell ref="H26:H27"/>
    <mergeCell ref="E20:F20"/>
    <mergeCell ref="G20:H20"/>
    <mergeCell ref="E21:F21"/>
    <mergeCell ref="G21:H21"/>
    <mergeCell ref="B2:H2"/>
    <mergeCell ref="B3:H3"/>
    <mergeCell ref="B4:H4"/>
    <mergeCell ref="D8:E8"/>
    <mergeCell ref="B25:H25"/>
    <mergeCell ref="B26:B27"/>
    <mergeCell ref="F54:G54"/>
    <mergeCell ref="F51:G51"/>
    <mergeCell ref="F53:G53"/>
    <mergeCell ref="G19:H19"/>
    <mergeCell ref="F48:G48"/>
    <mergeCell ref="F47:G47"/>
    <mergeCell ref="E43:F43"/>
    <mergeCell ref="G43:H43"/>
    <mergeCell ref="E44:F44"/>
    <mergeCell ref="G44:H44"/>
    <mergeCell ref="E46:F46"/>
    <mergeCell ref="G46:H46"/>
    <mergeCell ref="E45:F45"/>
    <mergeCell ref="G45:H45"/>
    <mergeCell ref="E42:F42"/>
    <mergeCell ref="G42:H42"/>
    <mergeCell ref="N25:N26"/>
    <mergeCell ref="E22:F22"/>
    <mergeCell ref="G22:H22"/>
    <mergeCell ref="E23:F23"/>
    <mergeCell ref="G23:H23"/>
    <mergeCell ref="C47:E47"/>
    <mergeCell ref="C49:E49"/>
    <mergeCell ref="C51:E51"/>
    <mergeCell ref="C53:E53"/>
    <mergeCell ref="M25:M26"/>
    <mergeCell ref="F49:G49"/>
    <mergeCell ref="F50:G50"/>
    <mergeCell ref="E41:F41"/>
    <mergeCell ref="G41:H41"/>
    <mergeCell ref="C26:C27"/>
  </mergeCells>
  <printOptions horizontalCentered="1"/>
  <pageMargins left="0.35433070866141736" right="0.19685039370078741" top="0.15748031496062992" bottom="0.23622047244094491" header="0.31496062992125984" footer="0.23622047244094491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9"/>
  <sheetViews>
    <sheetView topLeftCell="B13" zoomScale="110" zoomScaleNormal="110" workbookViewId="0">
      <selection activeCell="L13" sqref="L1:O1048576"/>
    </sheetView>
  </sheetViews>
  <sheetFormatPr defaultColWidth="9.140625" defaultRowHeight="15.75" outlineLevelRow="1" x14ac:dyDescent="0.25"/>
  <cols>
    <col min="1" max="1" width="2.85546875" style="5" customWidth="1"/>
    <col min="2" max="2" width="55.85546875" style="5" customWidth="1"/>
    <col min="3" max="3" width="12.140625" style="86" customWidth="1"/>
    <col min="4" max="4" width="8.7109375" style="82" customWidth="1"/>
    <col min="5" max="5" width="10.28515625" style="82" customWidth="1"/>
    <col min="6" max="7" width="10.28515625" style="5" customWidth="1"/>
    <col min="8" max="8" width="11" style="82" customWidth="1"/>
    <col min="9" max="9" width="11.140625" style="5" bestFit="1" customWidth="1"/>
    <col min="10" max="10" width="11.7109375" style="5" customWidth="1"/>
    <col min="11" max="11" width="9.140625" style="5"/>
    <col min="12" max="12" width="12.42578125" style="310" customWidth="1"/>
    <col min="13" max="13" width="16.7109375" style="310" customWidth="1"/>
    <col min="14" max="14" width="17" style="310" customWidth="1"/>
    <col min="15" max="15" width="9.140625" style="310"/>
    <col min="16" max="16384" width="9.140625" style="5"/>
  </cols>
  <sheetData>
    <row r="1" spans="1:10" x14ac:dyDescent="0.25">
      <c r="B1" s="233" t="s">
        <v>212</v>
      </c>
      <c r="C1" s="233"/>
      <c r="D1" s="233"/>
      <c r="E1" s="233"/>
      <c r="F1" s="233"/>
      <c r="G1" s="233"/>
      <c r="H1" s="233"/>
      <c r="I1" s="49"/>
      <c r="J1" s="49"/>
    </row>
    <row r="2" spans="1:10" x14ac:dyDescent="0.25">
      <c r="B2" s="233" t="s">
        <v>213</v>
      </c>
      <c r="C2" s="233"/>
      <c r="D2" s="233"/>
      <c r="E2" s="233"/>
      <c r="F2" s="233"/>
      <c r="G2" s="233"/>
      <c r="H2" s="233"/>
      <c r="I2" s="49"/>
      <c r="J2" s="49"/>
    </row>
    <row r="3" spans="1:10" x14ac:dyDescent="0.25">
      <c r="B3" s="233" t="s">
        <v>306</v>
      </c>
      <c r="C3" s="233"/>
      <c r="D3" s="233"/>
      <c r="E3" s="233"/>
      <c r="F3" s="233"/>
      <c r="G3" s="233"/>
      <c r="H3" s="233"/>
      <c r="I3" s="49"/>
      <c r="J3" s="49"/>
    </row>
    <row r="4" spans="1:10" x14ac:dyDescent="0.25">
      <c r="B4" s="233" t="s">
        <v>328</v>
      </c>
      <c r="C4" s="233"/>
      <c r="D4" s="233"/>
      <c r="E4" s="233"/>
      <c r="F4" s="233"/>
      <c r="G4" s="233"/>
      <c r="H4" s="233"/>
      <c r="I4" s="49"/>
      <c r="J4" s="49"/>
    </row>
    <row r="5" spans="1:10" ht="30" customHeight="1" x14ac:dyDescent="0.35">
      <c r="A5" s="59"/>
      <c r="B5" s="265" t="s">
        <v>329</v>
      </c>
      <c r="C5" s="265"/>
      <c r="D5" s="265"/>
      <c r="E5" s="265"/>
      <c r="F5" s="265"/>
      <c r="G5" s="265"/>
      <c r="H5" s="265"/>
    </row>
    <row r="6" spans="1:10" ht="8.25" customHeight="1" x14ac:dyDescent="0.25">
      <c r="B6" s="265"/>
      <c r="C6" s="265"/>
      <c r="D6" s="265"/>
      <c r="E6" s="265"/>
      <c r="F6" s="265"/>
      <c r="G6" s="265"/>
      <c r="H6" s="265"/>
    </row>
    <row r="7" spans="1:10" ht="8.25" customHeight="1" x14ac:dyDescent="0.35">
      <c r="B7" s="114"/>
      <c r="C7" s="114"/>
      <c r="D7" s="114"/>
      <c r="E7" s="114"/>
      <c r="F7" s="114"/>
      <c r="G7" s="114"/>
      <c r="H7" s="114"/>
    </row>
    <row r="8" spans="1:10" x14ac:dyDescent="0.25">
      <c r="B8" s="108" t="s">
        <v>0</v>
      </c>
      <c r="C8" s="109"/>
      <c r="D8" s="261" t="s">
        <v>214</v>
      </c>
      <c r="E8" s="261"/>
      <c r="F8" s="108"/>
    </row>
    <row r="9" spans="1:10" x14ac:dyDescent="0.25">
      <c r="B9" s="108" t="s">
        <v>1</v>
      </c>
      <c r="C9" s="109"/>
      <c r="D9" s="115">
        <v>1978</v>
      </c>
      <c r="E9" s="115"/>
      <c r="F9" s="108"/>
    </row>
    <row r="10" spans="1:10" ht="15.75" hidden="1" customHeight="1" outlineLevel="1" x14ac:dyDescent="0.25">
      <c r="B10" s="108" t="s">
        <v>2</v>
      </c>
      <c r="C10" s="109"/>
      <c r="D10" s="115">
        <v>5</v>
      </c>
      <c r="E10" s="115"/>
      <c r="F10" s="108"/>
    </row>
    <row r="11" spans="1:10" ht="15.75" hidden="1" customHeight="1" outlineLevel="1" x14ac:dyDescent="0.25">
      <c r="B11" s="108" t="s">
        <v>3</v>
      </c>
      <c r="C11" s="109"/>
      <c r="D11" s="115">
        <v>56</v>
      </c>
      <c r="E11" s="115"/>
      <c r="F11" s="108"/>
    </row>
    <row r="12" spans="1:10" ht="30.75" hidden="1" customHeight="1" outlineLevel="1" x14ac:dyDescent="0.25">
      <c r="B12" s="110" t="s">
        <v>4</v>
      </c>
      <c r="C12" s="111"/>
      <c r="D12" s="115" t="s">
        <v>70</v>
      </c>
      <c r="E12" s="115"/>
      <c r="F12" s="108"/>
    </row>
    <row r="13" spans="1:10" collapsed="1" x14ac:dyDescent="0.25">
      <c r="B13" s="108" t="s">
        <v>5</v>
      </c>
      <c r="C13" s="109"/>
      <c r="D13" s="115" t="s">
        <v>247</v>
      </c>
      <c r="E13" s="115"/>
      <c r="F13" s="108"/>
      <c r="I13" s="17"/>
    </row>
    <row r="14" spans="1:10" ht="15.75" hidden="1" customHeight="1" outlineLevel="1" x14ac:dyDescent="0.25">
      <c r="B14" s="5" t="s">
        <v>6</v>
      </c>
      <c r="D14" s="113" t="s">
        <v>293</v>
      </c>
      <c r="E14" s="113"/>
    </row>
    <row r="15" spans="1:10" ht="30.75" hidden="1" customHeight="1" outlineLevel="1" x14ac:dyDescent="0.25">
      <c r="B15" s="14" t="s">
        <v>7</v>
      </c>
      <c r="C15" s="58"/>
      <c r="D15" s="91" t="s">
        <v>71</v>
      </c>
      <c r="E15" s="113"/>
      <c r="I15" s="17"/>
    </row>
    <row r="16" spans="1:10" ht="12" customHeight="1" collapsed="1" x14ac:dyDescent="0.25">
      <c r="B16" s="14"/>
      <c r="C16" s="58"/>
      <c r="D16" s="91"/>
      <c r="E16" s="113"/>
      <c r="I16" s="17"/>
    </row>
    <row r="17" spans="2:15" ht="16.5" thickBot="1" x14ac:dyDescent="0.3">
      <c r="B17" s="260" t="s">
        <v>313</v>
      </c>
      <c r="C17" s="260"/>
      <c r="D17" s="260"/>
      <c r="E17" s="260"/>
      <c r="F17" s="260"/>
      <c r="G17" s="260"/>
      <c r="H17" s="260"/>
      <c r="I17" s="17"/>
    </row>
    <row r="18" spans="2:15" ht="46.5" customHeight="1" thickBot="1" x14ac:dyDescent="0.3">
      <c r="B18" s="92" t="s">
        <v>311</v>
      </c>
      <c r="C18" s="266" t="s">
        <v>207</v>
      </c>
      <c r="D18" s="267"/>
      <c r="E18" s="257" t="s">
        <v>8</v>
      </c>
      <c r="F18" s="258"/>
      <c r="G18" s="257" t="s">
        <v>9</v>
      </c>
      <c r="H18" s="259"/>
      <c r="I18" s="17"/>
    </row>
    <row r="19" spans="2:15" x14ac:dyDescent="0.25">
      <c r="B19" s="93" t="s">
        <v>15</v>
      </c>
      <c r="C19" s="222">
        <v>3061364.8899999997</v>
      </c>
      <c r="D19" s="253"/>
      <c r="E19" s="224">
        <v>2031005.5183146065</v>
      </c>
      <c r="F19" s="225"/>
      <c r="G19" s="224">
        <v>1030359.3716853932</v>
      </c>
      <c r="H19" s="226"/>
      <c r="I19" s="17"/>
    </row>
    <row r="20" spans="2:15" x14ac:dyDescent="0.25">
      <c r="B20" s="94" t="s">
        <v>16</v>
      </c>
      <c r="C20" s="220">
        <v>2722766.45</v>
      </c>
      <c r="D20" s="268"/>
      <c r="E20" s="220">
        <v>1794784.1096254685</v>
      </c>
      <c r="F20" s="221"/>
      <c r="G20" s="220">
        <v>927982.34037453192</v>
      </c>
      <c r="H20" s="251"/>
      <c r="I20" s="17"/>
    </row>
    <row r="21" spans="2:15" x14ac:dyDescent="0.25">
      <c r="B21" s="95" t="s">
        <v>189</v>
      </c>
      <c r="C21" s="246">
        <v>2789553.5482999999</v>
      </c>
      <c r="D21" s="269"/>
      <c r="E21" s="246">
        <v>1917027.5482999997</v>
      </c>
      <c r="F21" s="247"/>
      <c r="G21" s="246">
        <v>872526</v>
      </c>
      <c r="H21" s="252"/>
      <c r="I21" s="17"/>
    </row>
    <row r="22" spans="2:15" ht="16.5" thickBot="1" x14ac:dyDescent="0.3">
      <c r="B22" s="96" t="s">
        <v>226</v>
      </c>
      <c r="C22" s="246">
        <v>10800</v>
      </c>
      <c r="D22" s="269"/>
      <c r="E22" s="227">
        <v>10800</v>
      </c>
      <c r="F22" s="228"/>
      <c r="G22" s="227">
        <v>0</v>
      </c>
      <c r="H22" s="250"/>
      <c r="I22" s="17"/>
    </row>
    <row r="23" spans="2:15" ht="36.75" thickBot="1" x14ac:dyDescent="0.3">
      <c r="B23" s="97" t="s">
        <v>297</v>
      </c>
      <c r="C23" s="216">
        <f>E23+G23</f>
        <v>-55987.098299999256</v>
      </c>
      <c r="D23" s="217"/>
      <c r="E23" s="248">
        <f>E20+E22-E21</f>
        <v>-111443.43867453118</v>
      </c>
      <c r="F23" s="254"/>
      <c r="G23" s="248">
        <f>G20-G21</f>
        <v>55456.340374531923</v>
      </c>
      <c r="H23" s="249"/>
      <c r="I23" s="17"/>
    </row>
    <row r="24" spans="2:15" x14ac:dyDescent="0.25">
      <c r="B24" s="14"/>
      <c r="C24" s="64"/>
      <c r="D24" s="91"/>
      <c r="E24" s="113"/>
      <c r="F24" s="82"/>
      <c r="I24" s="17"/>
    </row>
    <row r="25" spans="2:15" ht="30" customHeight="1" thickBot="1" x14ac:dyDescent="0.3">
      <c r="B25" s="262" t="s">
        <v>324</v>
      </c>
      <c r="C25" s="262"/>
      <c r="D25" s="262"/>
      <c r="E25" s="262"/>
      <c r="F25" s="262"/>
      <c r="G25" s="262"/>
      <c r="H25" s="262"/>
      <c r="L25" s="321"/>
      <c r="M25" s="312" t="s">
        <v>301</v>
      </c>
      <c r="N25" s="312" t="s">
        <v>302</v>
      </c>
    </row>
    <row r="26" spans="2:15" ht="27" customHeight="1" x14ac:dyDescent="0.25">
      <c r="B26" s="263" t="s">
        <v>196</v>
      </c>
      <c r="C26" s="237" t="s">
        <v>197</v>
      </c>
      <c r="D26" s="237" t="s">
        <v>210</v>
      </c>
      <c r="E26" s="239" t="s">
        <v>325</v>
      </c>
      <c r="F26" s="241" t="s">
        <v>199</v>
      </c>
      <c r="G26" s="242"/>
      <c r="H26" s="243" t="s">
        <v>227</v>
      </c>
      <c r="L26" s="321"/>
      <c r="M26" s="313"/>
      <c r="N26" s="313"/>
    </row>
    <row r="27" spans="2:15" ht="49.5" customHeight="1" thickBot="1" x14ac:dyDescent="0.3">
      <c r="B27" s="264"/>
      <c r="C27" s="238"/>
      <c r="D27" s="238"/>
      <c r="E27" s="240"/>
      <c r="F27" s="19" t="s">
        <v>187</v>
      </c>
      <c r="G27" s="20" t="s">
        <v>188</v>
      </c>
      <c r="H27" s="244"/>
      <c r="M27" s="315">
        <v>273636.68</v>
      </c>
      <c r="N27" s="314">
        <f>M27*1.01</f>
        <v>276373.04680000001</v>
      </c>
    </row>
    <row r="28" spans="2:15" ht="49.5" customHeight="1" x14ac:dyDescent="0.25">
      <c r="B28" s="21" t="s">
        <v>191</v>
      </c>
      <c r="C28" s="32" t="s">
        <v>200</v>
      </c>
      <c r="D28" s="22" t="s">
        <v>201</v>
      </c>
      <c r="E28" s="98">
        <v>1.06</v>
      </c>
      <c r="F28" s="23">
        <f>$M$27/$M$28*E28</f>
        <v>33688.139465737513</v>
      </c>
      <c r="G28" s="24">
        <f>$N$27/$N$28*E28</f>
        <v>34025.020860394885</v>
      </c>
      <c r="H28" s="25">
        <f>F28-G28</f>
        <v>-336.88139465737186</v>
      </c>
      <c r="I28" s="60"/>
      <c r="J28" s="27"/>
      <c r="K28" s="27"/>
      <c r="L28" s="322"/>
      <c r="M28" s="315">
        <f>E38-E36</f>
        <v>8.6100000000000012</v>
      </c>
      <c r="N28" s="315">
        <f>E38-E36</f>
        <v>8.6100000000000012</v>
      </c>
      <c r="O28" s="326"/>
    </row>
    <row r="29" spans="2:15" ht="51" x14ac:dyDescent="0.25">
      <c r="B29" s="29" t="s">
        <v>202</v>
      </c>
      <c r="C29" s="32" t="s">
        <v>200</v>
      </c>
      <c r="D29" s="22" t="s">
        <v>201</v>
      </c>
      <c r="E29" s="99">
        <v>1.19</v>
      </c>
      <c r="F29" s="23">
        <f t="shared" ref="F29:F37" si="0">$M$27/$M$28*E29</f>
        <v>37819.703739837394</v>
      </c>
      <c r="G29" s="24">
        <f t="shared" ref="G29:G34" si="1">$N$27/$N$28*E29</f>
        <v>38197.900777235765</v>
      </c>
      <c r="H29" s="25">
        <f t="shared" ref="H29:H35" si="2">F29-G29</f>
        <v>-378.19703739837132</v>
      </c>
      <c r="I29" s="61"/>
      <c r="J29" s="4"/>
      <c r="K29" s="4"/>
      <c r="L29" s="323" t="s">
        <v>289</v>
      </c>
      <c r="M29" s="318">
        <f>M30/16.02*M28</f>
        <v>0</v>
      </c>
      <c r="N29" s="318">
        <f>N30/16.02*N28</f>
        <v>0</v>
      </c>
      <c r="O29" s="316"/>
    </row>
    <row r="30" spans="2:15" ht="50.25" customHeight="1" x14ac:dyDescent="0.25">
      <c r="B30" s="30" t="s">
        <v>184</v>
      </c>
      <c r="C30" s="32" t="s">
        <v>200</v>
      </c>
      <c r="D30" s="22" t="s">
        <v>201</v>
      </c>
      <c r="E30" s="99">
        <v>0.32</v>
      </c>
      <c r="F30" s="23">
        <f t="shared" si="0"/>
        <v>10170.004367015097</v>
      </c>
      <c r="G30" s="24">
        <f t="shared" si="1"/>
        <v>10271.704410685248</v>
      </c>
      <c r="H30" s="25">
        <f t="shared" si="2"/>
        <v>-101.70004367015099</v>
      </c>
      <c r="I30" s="44"/>
      <c r="L30" s="323" t="s">
        <v>290</v>
      </c>
      <c r="M30" s="323"/>
      <c r="N30" s="323"/>
    </row>
    <row r="31" spans="2:15" x14ac:dyDescent="0.25">
      <c r="B31" s="30" t="s">
        <v>309</v>
      </c>
      <c r="C31" s="32" t="s">
        <v>315</v>
      </c>
      <c r="D31" s="22" t="s">
        <v>201</v>
      </c>
      <c r="E31" s="99">
        <v>0</v>
      </c>
      <c r="F31" s="23"/>
      <c r="G31" s="24"/>
      <c r="H31" s="25">
        <f t="shared" si="2"/>
        <v>0</v>
      </c>
      <c r="I31" s="44"/>
      <c r="L31" s="323"/>
      <c r="M31" s="323"/>
      <c r="N31" s="323"/>
    </row>
    <row r="32" spans="2:15" ht="25.5" x14ac:dyDescent="0.25">
      <c r="B32" s="30" t="s">
        <v>185</v>
      </c>
      <c r="C32" s="31" t="s">
        <v>203</v>
      </c>
      <c r="D32" s="22" t="s">
        <v>201</v>
      </c>
      <c r="E32" s="99">
        <v>0.16</v>
      </c>
      <c r="F32" s="23">
        <f t="shared" si="0"/>
        <v>5085.0021835075486</v>
      </c>
      <c r="G32" s="24">
        <f t="shared" si="1"/>
        <v>5135.8522053426241</v>
      </c>
      <c r="H32" s="25">
        <f t="shared" si="2"/>
        <v>-50.850021835075495</v>
      </c>
      <c r="I32" s="44"/>
      <c r="L32" s="318" t="s">
        <v>291</v>
      </c>
      <c r="M32" s="318">
        <f>M30-M29</f>
        <v>0</v>
      </c>
      <c r="N32" s="318">
        <f>N30-N29</f>
        <v>0</v>
      </c>
    </row>
    <row r="33" spans="2:15" ht="51" x14ac:dyDescent="0.25">
      <c r="B33" s="29" t="s">
        <v>192</v>
      </c>
      <c r="C33" s="32" t="s">
        <v>200</v>
      </c>
      <c r="D33" s="22" t="s">
        <v>201</v>
      </c>
      <c r="E33" s="99">
        <v>1.18</v>
      </c>
      <c r="F33" s="23">
        <f t="shared" si="0"/>
        <v>37501.891103368172</v>
      </c>
      <c r="G33" s="24">
        <f t="shared" si="1"/>
        <v>37876.910014401852</v>
      </c>
      <c r="H33" s="25">
        <f t="shared" si="2"/>
        <v>-375.01891103367961</v>
      </c>
      <c r="I33" s="44"/>
    </row>
    <row r="34" spans="2:15" ht="227.25" customHeight="1" x14ac:dyDescent="0.25">
      <c r="B34" s="29" t="s">
        <v>218</v>
      </c>
      <c r="C34" s="32" t="s">
        <v>204</v>
      </c>
      <c r="D34" s="22" t="s">
        <v>201</v>
      </c>
      <c r="E34" s="99">
        <v>4.37</v>
      </c>
      <c r="F34" s="23">
        <f t="shared" si="0"/>
        <v>138884.12213704994</v>
      </c>
      <c r="G34" s="24">
        <f t="shared" si="1"/>
        <v>140272.96335842041</v>
      </c>
      <c r="H34" s="25">
        <f t="shared" si="2"/>
        <v>-1388.8412213704723</v>
      </c>
      <c r="I34" s="61"/>
      <c r="J34" s="4"/>
      <c r="K34" s="4"/>
      <c r="L34" s="324"/>
      <c r="M34" s="316"/>
      <c r="N34" s="316"/>
    </row>
    <row r="35" spans="2:15" ht="108.75" customHeight="1" x14ac:dyDescent="0.25">
      <c r="B35" s="29" t="s">
        <v>205</v>
      </c>
      <c r="C35" s="32" t="s">
        <v>200</v>
      </c>
      <c r="D35" s="22" t="s">
        <v>201</v>
      </c>
      <c r="E35" s="99">
        <v>0.24</v>
      </c>
      <c r="F35" s="23">
        <f t="shared" si="0"/>
        <v>7627.5032752613224</v>
      </c>
      <c r="G35" s="24">
        <f t="shared" ref="G35" si="3">$N$27/$N$28*E35</f>
        <v>7703.7783080139361</v>
      </c>
      <c r="H35" s="25">
        <f t="shared" si="2"/>
        <v>-76.275032752613697</v>
      </c>
      <c r="I35" s="44"/>
    </row>
    <row r="36" spans="2:15" ht="54.75" customHeight="1" x14ac:dyDescent="0.25">
      <c r="B36" s="30" t="s">
        <v>206</v>
      </c>
      <c r="C36" s="32" t="s">
        <v>200</v>
      </c>
      <c r="D36" s="22" t="s">
        <v>201</v>
      </c>
      <c r="E36" s="99">
        <v>5.41</v>
      </c>
      <c r="F36" s="23">
        <f>M32+171936.64</f>
        <v>171936.64000000001</v>
      </c>
      <c r="G36" s="6">
        <v>41048</v>
      </c>
      <c r="H36" s="25">
        <f>F36-G36</f>
        <v>130888.64000000001</v>
      </c>
      <c r="I36" s="44"/>
      <c r="L36" s="321"/>
    </row>
    <row r="37" spans="2:15" ht="16.5" thickBot="1" x14ac:dyDescent="0.3">
      <c r="B37" s="51" t="s">
        <v>186</v>
      </c>
      <c r="C37" s="52" t="s">
        <v>204</v>
      </c>
      <c r="D37" s="53" t="s">
        <v>201</v>
      </c>
      <c r="E37" s="103">
        <v>0.09</v>
      </c>
      <c r="F37" s="23">
        <f t="shared" si="0"/>
        <v>2860.3137282229959</v>
      </c>
      <c r="G37" s="24">
        <f t="shared" ref="G37" si="4">$N$27/$N$28*E37</f>
        <v>2888.9168655052258</v>
      </c>
      <c r="H37" s="33">
        <f>F37-G37</f>
        <v>-28.603137282229909</v>
      </c>
      <c r="I37" s="62"/>
    </row>
    <row r="38" spans="2:15" ht="16.5" thickBot="1" x14ac:dyDescent="0.3">
      <c r="B38" s="54" t="s">
        <v>190</v>
      </c>
      <c r="C38" s="55"/>
      <c r="D38" s="55"/>
      <c r="E38" s="101">
        <f>SUM(E28:E37)</f>
        <v>14.020000000000001</v>
      </c>
      <c r="F38" s="56">
        <f>SUM(F28:F37)</f>
        <v>445573.31999999995</v>
      </c>
      <c r="G38" s="57">
        <f>SUM(G28:G37)</f>
        <v>317421.04679999995</v>
      </c>
      <c r="H38" s="38">
        <f>SUM(H28:H37)</f>
        <v>128152.27320000004</v>
      </c>
      <c r="I38" s="44"/>
    </row>
    <row r="39" spans="2:15" x14ac:dyDescent="0.25">
      <c r="B39" s="17"/>
      <c r="C39" s="17"/>
      <c r="D39" s="17"/>
      <c r="E39" s="86"/>
      <c r="F39" s="82"/>
      <c r="G39" s="125"/>
      <c r="O39" s="317"/>
    </row>
    <row r="40" spans="2:15" ht="16.5" customHeight="1" thickBot="1" x14ac:dyDescent="0.3">
      <c r="B40" s="260" t="s">
        <v>326</v>
      </c>
      <c r="C40" s="260"/>
      <c r="D40" s="260"/>
      <c r="E40" s="260"/>
      <c r="F40" s="260"/>
      <c r="G40" s="260"/>
      <c r="H40" s="260"/>
      <c r="I40" s="73"/>
      <c r="J40" s="73"/>
    </row>
    <row r="41" spans="2:15" ht="41.25" customHeight="1" thickBot="1" x14ac:dyDescent="0.3">
      <c r="B41" s="92" t="s">
        <v>327</v>
      </c>
      <c r="C41" s="266" t="s">
        <v>207</v>
      </c>
      <c r="D41" s="267"/>
      <c r="E41" s="257" t="s">
        <v>8</v>
      </c>
      <c r="F41" s="258"/>
      <c r="G41" s="257" t="s">
        <v>9</v>
      </c>
      <c r="H41" s="259"/>
      <c r="I41" s="74"/>
      <c r="J41" s="75"/>
      <c r="K41" s="42"/>
      <c r="L41" s="319"/>
      <c r="M41" s="317"/>
      <c r="N41" s="317"/>
    </row>
    <row r="42" spans="2:15" x14ac:dyDescent="0.25">
      <c r="B42" s="93" t="s">
        <v>15</v>
      </c>
      <c r="C42" s="222">
        <f>E42+G42</f>
        <v>3506938.2099999995</v>
      </c>
      <c r="D42" s="223"/>
      <c r="E42" s="224">
        <f>F28+F29+F30+F32+F33+F34+F35+F37+E19</f>
        <v>2304642.1983146062</v>
      </c>
      <c r="F42" s="225"/>
      <c r="G42" s="224">
        <f>F36+G19</f>
        <v>1202296.0116853933</v>
      </c>
      <c r="H42" s="226"/>
      <c r="I42" s="270"/>
      <c r="J42" s="271"/>
      <c r="K42" s="9"/>
      <c r="L42" s="320"/>
      <c r="M42" s="318"/>
    </row>
    <row r="43" spans="2:15" x14ac:dyDescent="0.25">
      <c r="B43" s="94" t="s">
        <v>16</v>
      </c>
      <c r="C43" s="220">
        <f>E43+G43</f>
        <v>3129358.6100000003</v>
      </c>
      <c r="D43" s="221"/>
      <c r="E43" s="220">
        <f>E20+N29+249697.47</f>
        <v>2044481.5796254685</v>
      </c>
      <c r="F43" s="221"/>
      <c r="G43" s="220">
        <f>G20+N32+156894.69</f>
        <v>1084877.0303745319</v>
      </c>
      <c r="H43" s="251"/>
      <c r="I43" s="270"/>
      <c r="J43" s="271"/>
      <c r="K43" s="12"/>
      <c r="L43" s="320"/>
      <c r="M43" s="318"/>
    </row>
    <row r="44" spans="2:15" x14ac:dyDescent="0.25">
      <c r="B44" s="95" t="s">
        <v>189</v>
      </c>
      <c r="C44" s="220">
        <f>E44+G44</f>
        <v>3106974.5950999996</v>
      </c>
      <c r="D44" s="221"/>
      <c r="E44" s="246">
        <f>G28+G29+G30+G32+G33+G34+G35+G37+E21+G31</f>
        <v>2193400.5950999996</v>
      </c>
      <c r="F44" s="247"/>
      <c r="G44" s="246">
        <f>G36+G21</f>
        <v>913574</v>
      </c>
      <c r="H44" s="252"/>
      <c r="I44" s="270"/>
      <c r="J44" s="271"/>
      <c r="K44" s="44"/>
      <c r="L44" s="325"/>
    </row>
    <row r="45" spans="2:15" ht="16.5" thickBot="1" x14ac:dyDescent="0.3">
      <c r="B45" s="96" t="s">
        <v>226</v>
      </c>
      <c r="C45" s="227">
        <f>E45+G45</f>
        <v>14400</v>
      </c>
      <c r="D45" s="228"/>
      <c r="E45" s="227">
        <f>E22+3600</f>
        <v>14400</v>
      </c>
      <c r="F45" s="228"/>
      <c r="G45" s="227">
        <f>G22</f>
        <v>0</v>
      </c>
      <c r="H45" s="250"/>
      <c r="I45" s="116"/>
      <c r="J45" s="117"/>
      <c r="K45" s="44"/>
      <c r="L45" s="325"/>
    </row>
    <row r="46" spans="2:15" ht="30" customHeight="1" thickBot="1" x14ac:dyDescent="0.3">
      <c r="B46" s="97" t="s">
        <v>298</v>
      </c>
      <c r="C46" s="216">
        <f>E46+G46</f>
        <v>36784.014900000766</v>
      </c>
      <c r="D46" s="217"/>
      <c r="E46" s="248">
        <f>E43+E45-E44</f>
        <v>-134519.0154745311</v>
      </c>
      <c r="F46" s="254"/>
      <c r="G46" s="248">
        <f>G43-G44</f>
        <v>171303.03037453187</v>
      </c>
      <c r="H46" s="249"/>
      <c r="I46" s="76"/>
      <c r="J46" s="77"/>
      <c r="K46" s="44"/>
      <c r="L46" s="325"/>
    </row>
    <row r="47" spans="2:15" ht="37.5" customHeight="1" x14ac:dyDescent="0.25">
      <c r="B47" s="138" t="s">
        <v>180</v>
      </c>
      <c r="C47" s="232" t="s">
        <v>308</v>
      </c>
      <c r="D47" s="232"/>
      <c r="E47" s="232"/>
      <c r="F47" s="230" t="s">
        <v>10</v>
      </c>
      <c r="G47" s="230"/>
      <c r="H47" s="78"/>
      <c r="I47" s="78"/>
      <c r="J47" s="4"/>
      <c r="K47" s="4"/>
      <c r="L47" s="316"/>
      <c r="M47" s="316"/>
      <c r="N47" s="316"/>
      <c r="O47" s="316"/>
    </row>
    <row r="48" spans="2:15" ht="10.5" customHeight="1" x14ac:dyDescent="0.25">
      <c r="B48" s="138"/>
      <c r="C48" s="138"/>
      <c r="D48" s="138"/>
      <c r="E48" s="137"/>
      <c r="F48" s="231"/>
      <c r="G48" s="231"/>
      <c r="H48" s="78"/>
      <c r="I48" s="78"/>
      <c r="J48" s="4"/>
      <c r="K48" s="4"/>
      <c r="L48" s="316"/>
      <c r="M48" s="316"/>
      <c r="N48" s="316"/>
      <c r="O48" s="316"/>
    </row>
    <row r="49" spans="2:15" x14ac:dyDescent="0.25">
      <c r="B49" s="138" t="s">
        <v>181</v>
      </c>
      <c r="C49" s="232" t="s">
        <v>308</v>
      </c>
      <c r="D49" s="232"/>
      <c r="E49" s="232"/>
      <c r="F49" s="230" t="s">
        <v>208</v>
      </c>
      <c r="G49" s="230"/>
      <c r="H49" s="78"/>
      <c r="I49" s="78"/>
      <c r="J49" s="4"/>
      <c r="K49" s="4"/>
      <c r="L49" s="316"/>
      <c r="M49" s="316"/>
      <c r="N49" s="316"/>
      <c r="O49" s="316"/>
    </row>
    <row r="50" spans="2:15" ht="10.5" customHeight="1" x14ac:dyDescent="0.25">
      <c r="B50" s="138"/>
      <c r="C50" s="138"/>
      <c r="D50" s="138"/>
      <c r="E50" s="137"/>
      <c r="F50" s="230"/>
      <c r="G50" s="230"/>
      <c r="H50" s="78"/>
      <c r="I50" s="78"/>
    </row>
    <row r="51" spans="2:15" x14ac:dyDescent="0.25">
      <c r="B51" s="138" t="s">
        <v>182</v>
      </c>
      <c r="C51" s="232" t="s">
        <v>308</v>
      </c>
      <c r="D51" s="232"/>
      <c r="E51" s="232"/>
      <c r="F51" s="230" t="s">
        <v>209</v>
      </c>
      <c r="G51" s="230"/>
      <c r="H51" s="78"/>
      <c r="I51" s="78"/>
    </row>
    <row r="52" spans="2:15" ht="9.75" customHeight="1" x14ac:dyDescent="0.25">
      <c r="B52" s="45"/>
      <c r="C52" s="45"/>
      <c r="D52" s="45"/>
      <c r="E52" s="137"/>
      <c r="F52" s="46"/>
      <c r="G52" s="47"/>
      <c r="H52" s="48"/>
      <c r="I52" s="10"/>
    </row>
    <row r="53" spans="2:15" x14ac:dyDescent="0.25">
      <c r="B53" s="138" t="s">
        <v>183</v>
      </c>
      <c r="C53" s="232" t="s">
        <v>308</v>
      </c>
      <c r="D53" s="232"/>
      <c r="E53" s="232"/>
      <c r="F53" s="230" t="s">
        <v>209</v>
      </c>
      <c r="G53" s="230"/>
      <c r="H53" s="78"/>
      <c r="I53" s="78"/>
    </row>
    <row r="54" spans="2:15" ht="9" customHeight="1" x14ac:dyDescent="0.25">
      <c r="B54" s="49"/>
      <c r="C54" s="49"/>
      <c r="D54" s="49"/>
      <c r="E54" s="112"/>
      <c r="F54" s="229"/>
      <c r="G54" s="229"/>
      <c r="I54" s="82"/>
    </row>
    <row r="55" spans="2:15" x14ac:dyDescent="0.25">
      <c r="B55" s="49"/>
      <c r="C55" s="49"/>
      <c r="D55" s="87"/>
      <c r="E55" s="87"/>
      <c r="F55" s="88"/>
      <c r="G55" s="88"/>
    </row>
    <row r="56" spans="2:15" x14ac:dyDescent="0.25">
      <c r="C56" s="13"/>
      <c r="D56" s="86"/>
      <c r="E56" s="50"/>
      <c r="H56" s="5"/>
    </row>
    <row r="57" spans="2:15" x14ac:dyDescent="0.25">
      <c r="C57" s="13"/>
      <c r="D57" s="86"/>
      <c r="H57" s="5"/>
    </row>
    <row r="58" spans="2:15" x14ac:dyDescent="0.25">
      <c r="C58" s="13"/>
      <c r="H58" s="5"/>
    </row>
    <row r="59" spans="2:15" x14ac:dyDescent="0.25">
      <c r="C59" s="13"/>
      <c r="H59" s="5"/>
    </row>
  </sheetData>
  <mergeCells count="67">
    <mergeCell ref="C43:D43"/>
    <mergeCell ref="C23:D23"/>
    <mergeCell ref="C18:D18"/>
    <mergeCell ref="C19:D19"/>
    <mergeCell ref="C20:D20"/>
    <mergeCell ref="C21:D21"/>
    <mergeCell ref="C22:D22"/>
    <mergeCell ref="C41:D41"/>
    <mergeCell ref="C42:D42"/>
    <mergeCell ref="B26:B27"/>
    <mergeCell ref="C26:C27"/>
    <mergeCell ref="D26:D27"/>
    <mergeCell ref="E26:E27"/>
    <mergeCell ref="B40:H40"/>
    <mergeCell ref="F26:G26"/>
    <mergeCell ref="H26:H27"/>
    <mergeCell ref="F47:G47"/>
    <mergeCell ref="E44:F44"/>
    <mergeCell ref="E46:F46"/>
    <mergeCell ref="E45:F45"/>
    <mergeCell ref="G45:H45"/>
    <mergeCell ref="C47:E47"/>
    <mergeCell ref="G46:H46"/>
    <mergeCell ref="B1:H1"/>
    <mergeCell ref="F54:G54"/>
    <mergeCell ref="F51:G51"/>
    <mergeCell ref="F53:G53"/>
    <mergeCell ref="F49:G49"/>
    <mergeCell ref="F50:G50"/>
    <mergeCell ref="G44:H44"/>
    <mergeCell ref="E42:F42"/>
    <mergeCell ref="G42:H42"/>
    <mergeCell ref="B5:H6"/>
    <mergeCell ref="B2:H2"/>
    <mergeCell ref="B3:H3"/>
    <mergeCell ref="B4:H4"/>
    <mergeCell ref="F48:G48"/>
    <mergeCell ref="D8:E8"/>
    <mergeCell ref="B25:H25"/>
    <mergeCell ref="B17:H17"/>
    <mergeCell ref="E18:F18"/>
    <mergeCell ref="G18:H18"/>
    <mergeCell ref="E19:F19"/>
    <mergeCell ref="G19:H19"/>
    <mergeCell ref="N25:N26"/>
    <mergeCell ref="E20:F20"/>
    <mergeCell ref="G20:H20"/>
    <mergeCell ref="E21:F21"/>
    <mergeCell ref="G21:H21"/>
    <mergeCell ref="E22:F22"/>
    <mergeCell ref="G22:H22"/>
    <mergeCell ref="E23:F23"/>
    <mergeCell ref="G23:H23"/>
    <mergeCell ref="M25:M26"/>
    <mergeCell ref="I44:J44"/>
    <mergeCell ref="E41:F41"/>
    <mergeCell ref="G41:H41"/>
    <mergeCell ref="I42:J42"/>
    <mergeCell ref="G43:H43"/>
    <mergeCell ref="I43:J43"/>
    <mergeCell ref="E43:F43"/>
    <mergeCell ref="C49:E49"/>
    <mergeCell ref="C51:E51"/>
    <mergeCell ref="C53:E53"/>
    <mergeCell ref="C44:D44"/>
    <mergeCell ref="C45:D45"/>
    <mergeCell ref="C46:D46"/>
  </mergeCells>
  <printOptions horizontalCentered="1"/>
  <pageMargins left="0.19685039370078741" right="0.19685039370078741" top="0.23622047244094491" bottom="0.23622047244094491" header="0.31496062992125984" footer="0.31496062992125984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3" zoomScale="110" zoomScaleNormal="110" workbookViewId="0">
      <selection activeCell="L3" sqref="L1:O1048576"/>
    </sheetView>
  </sheetViews>
  <sheetFormatPr defaultColWidth="9.140625" defaultRowHeight="15.75" outlineLevelRow="1" x14ac:dyDescent="0.25"/>
  <cols>
    <col min="1" max="1" width="2.85546875" style="5" customWidth="1"/>
    <col min="2" max="2" width="56.42578125" style="5" customWidth="1"/>
    <col min="3" max="3" width="21.7109375" style="86" customWidth="1"/>
    <col min="4" max="4" width="8.7109375" style="82" customWidth="1"/>
    <col min="5" max="5" width="10.28515625" style="82" customWidth="1"/>
    <col min="6" max="6" width="10" style="82" customWidth="1"/>
    <col min="7" max="7" width="10.28515625" style="5" customWidth="1"/>
    <col min="8" max="8" width="10.5703125" style="82" customWidth="1"/>
    <col min="9" max="9" width="10.7109375" style="5" bestFit="1" customWidth="1"/>
    <col min="10" max="10" width="12.140625" style="5" customWidth="1"/>
    <col min="11" max="11" width="13.85546875" style="5" customWidth="1"/>
    <col min="12" max="12" width="11.140625" style="310" customWidth="1"/>
    <col min="13" max="13" width="14.28515625" style="310" customWidth="1"/>
    <col min="14" max="14" width="17.7109375" style="310" customWidth="1"/>
    <col min="15" max="15" width="9.140625" style="310"/>
    <col min="16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4.75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15" customHeight="1" x14ac:dyDescent="0.25"/>
    <row r="5" spans="1:9" x14ac:dyDescent="0.25">
      <c r="B5" s="10" t="s">
        <v>0</v>
      </c>
      <c r="C5" s="125"/>
      <c r="D5" s="234" t="s">
        <v>72</v>
      </c>
      <c r="E5" s="234"/>
    </row>
    <row r="6" spans="1:9" x14ac:dyDescent="0.25">
      <c r="B6" s="10" t="s">
        <v>1</v>
      </c>
      <c r="C6" s="125"/>
      <c r="D6" s="207">
        <v>1959</v>
      </c>
      <c r="E6" s="207"/>
    </row>
    <row r="7" spans="1:9" hidden="1" outlineLevel="1" x14ac:dyDescent="0.25">
      <c r="B7" s="10" t="s">
        <v>2</v>
      </c>
      <c r="C7" s="125"/>
      <c r="D7" s="207">
        <v>3</v>
      </c>
      <c r="E7" s="207"/>
    </row>
    <row r="8" spans="1:9" hidden="1" outlineLevel="1" x14ac:dyDescent="0.25">
      <c r="B8" s="10" t="s">
        <v>3</v>
      </c>
      <c r="C8" s="125"/>
      <c r="D8" s="207">
        <v>20</v>
      </c>
      <c r="E8" s="207"/>
    </row>
    <row r="9" spans="1:9" ht="26.25" hidden="1" outlineLevel="1" x14ac:dyDescent="0.25">
      <c r="B9" s="122" t="s">
        <v>4</v>
      </c>
      <c r="C9" s="126"/>
      <c r="D9" s="207" t="s">
        <v>73</v>
      </c>
      <c r="E9" s="207"/>
    </row>
    <row r="10" spans="1:9" collapsed="1" x14ac:dyDescent="0.25">
      <c r="B10" s="10" t="s">
        <v>5</v>
      </c>
      <c r="C10" s="125"/>
      <c r="D10" s="207" t="s">
        <v>248</v>
      </c>
      <c r="E10" s="207"/>
      <c r="I10" s="17"/>
    </row>
    <row r="11" spans="1:9" x14ac:dyDescent="0.25">
      <c r="B11" s="10" t="s">
        <v>6</v>
      </c>
      <c r="C11" s="125"/>
      <c r="D11" s="207" t="s">
        <v>294</v>
      </c>
      <c r="E11" s="207"/>
    </row>
    <row r="12" spans="1:9" ht="31.5" hidden="1" customHeight="1" outlineLevel="1" x14ac:dyDescent="0.25">
      <c r="B12" s="14" t="s">
        <v>7</v>
      </c>
      <c r="C12" s="58"/>
      <c r="D12" s="91" t="s">
        <v>74</v>
      </c>
      <c r="E12" s="208"/>
      <c r="I12" s="17"/>
    </row>
    <row r="13" spans="1:9" collapsed="1" x14ac:dyDescent="0.25">
      <c r="B13" s="14"/>
      <c r="C13" s="58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39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ht="16.5" customHeight="1" x14ac:dyDescent="0.25">
      <c r="B16" s="93" t="s">
        <v>15</v>
      </c>
      <c r="C16" s="222">
        <v>1276430.53</v>
      </c>
      <c r="D16" s="223"/>
      <c r="E16" s="222">
        <v>906297.47884637362</v>
      </c>
      <c r="F16" s="223"/>
      <c r="G16" s="222">
        <v>370133.05115362647</v>
      </c>
      <c r="H16" s="256"/>
      <c r="I16" s="17"/>
    </row>
    <row r="17" spans="2:14" x14ac:dyDescent="0.25">
      <c r="B17" s="94" t="s">
        <v>16</v>
      </c>
      <c r="C17" s="220">
        <v>1165490.6299999999</v>
      </c>
      <c r="D17" s="221"/>
      <c r="E17" s="220">
        <v>828845.64884637343</v>
      </c>
      <c r="F17" s="221"/>
      <c r="G17" s="220">
        <v>336644.98115362652</v>
      </c>
      <c r="H17" s="251"/>
      <c r="I17" s="17"/>
    </row>
    <row r="18" spans="2:14" ht="16.5" thickBot="1" x14ac:dyDescent="0.3">
      <c r="B18" s="95" t="s">
        <v>189</v>
      </c>
      <c r="C18" s="220">
        <v>1129487.5851</v>
      </c>
      <c r="D18" s="221"/>
      <c r="E18" s="246">
        <v>821980.58510000003</v>
      </c>
      <c r="F18" s="247"/>
      <c r="G18" s="246">
        <v>307507</v>
      </c>
      <c r="H18" s="252"/>
      <c r="I18" s="17"/>
    </row>
    <row r="19" spans="2:14" ht="27.75" customHeight="1" thickBot="1" x14ac:dyDescent="0.3">
      <c r="B19" s="97" t="s">
        <v>297</v>
      </c>
      <c r="C19" s="216">
        <f>E19+G19</f>
        <v>36003.044899999921</v>
      </c>
      <c r="D19" s="217"/>
      <c r="E19" s="248">
        <f>E17-E18</f>
        <v>6865.063746373402</v>
      </c>
      <c r="F19" s="254"/>
      <c r="G19" s="248">
        <f>G17-G18</f>
        <v>29137.981153626519</v>
      </c>
      <c r="H19" s="249"/>
      <c r="I19" s="17"/>
    </row>
    <row r="20" spans="2:14" x14ac:dyDescent="0.25">
      <c r="B20" s="14"/>
      <c r="C20" s="64"/>
      <c r="D20" s="91"/>
      <c r="E20" s="208"/>
      <c r="I20" s="17"/>
    </row>
    <row r="21" spans="2:14" ht="20.2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321"/>
      <c r="M21" s="312" t="s">
        <v>301</v>
      </c>
      <c r="N21" s="312" t="s">
        <v>302</v>
      </c>
    </row>
    <row r="22" spans="2:14" ht="35.2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321"/>
      <c r="M22" s="313"/>
      <c r="N22" s="313"/>
    </row>
    <row r="23" spans="2:14" ht="4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5">
        <v>140272.89000000001</v>
      </c>
      <c r="N23" s="314">
        <f>M23*1.01</f>
        <v>141675.6189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13287.691099195716</v>
      </c>
      <c r="G24" s="24">
        <f>$N$23/$N$24*E24</f>
        <v>13420.568010187671</v>
      </c>
      <c r="H24" s="25">
        <f>F24-G24</f>
        <v>-132.87691099195581</v>
      </c>
      <c r="I24" s="26"/>
      <c r="J24" s="26"/>
      <c r="K24" s="27"/>
      <c r="L24" s="322"/>
      <c r="M24" s="315">
        <f>E33-E31</f>
        <v>11.189999999999998</v>
      </c>
      <c r="N24" s="315">
        <f>E33-E31</f>
        <v>11.189999999999998</v>
      </c>
    </row>
    <row r="25" spans="2:14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14917.313592493301</v>
      </c>
      <c r="G25" s="24">
        <f>$N$23/$N$24*E25</f>
        <v>15066.486728418235</v>
      </c>
      <c r="H25" s="25">
        <f t="shared" ref="H25:H30" si="0">F25-G25</f>
        <v>-149.17313592493338</v>
      </c>
      <c r="I25" s="26"/>
      <c r="J25" s="26"/>
      <c r="K25" s="4"/>
      <c r="L25" s="323" t="s">
        <v>289</v>
      </c>
      <c r="M25" s="318">
        <f>M26/E33*M24</f>
        <v>0</v>
      </c>
      <c r="N25" s="318">
        <f>N26/E33*N24</f>
        <v>0</v>
      </c>
    </row>
    <row r="26" spans="2:14" ht="55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4011.3784450402159</v>
      </c>
      <c r="G26" s="24">
        <f t="shared" ref="G26:G29" si="2">$N$23/$N$24*E26</f>
        <v>4051.4922294906178</v>
      </c>
      <c r="H26" s="25">
        <f t="shared" si="0"/>
        <v>-40.113784450401909</v>
      </c>
      <c r="I26" s="26"/>
      <c r="J26" s="26"/>
      <c r="L26" s="323" t="s">
        <v>290</v>
      </c>
      <c r="M26" s="323"/>
      <c r="N26" s="323"/>
    </row>
    <row r="27" spans="2:14" ht="29.25" customHeight="1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($M$23/12*6)/$M$24*E27</f>
        <v>3133.8894101876685</v>
      </c>
      <c r="G27" s="24">
        <f>($N$23/12*6)/$N$24*E27</f>
        <v>3165.2283042895451</v>
      </c>
      <c r="H27" s="25">
        <f t="shared" si="0"/>
        <v>-31.338894101876576</v>
      </c>
      <c r="I27" s="26"/>
      <c r="J27" s="26"/>
      <c r="L27" s="318" t="s">
        <v>291</v>
      </c>
      <c r="M27" s="318">
        <f>M26-M25</f>
        <v>0</v>
      </c>
      <c r="N27" s="318">
        <f>N26-N25</f>
        <v>0</v>
      </c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14791.958016085795</v>
      </c>
      <c r="G28" s="24">
        <f t="shared" si="2"/>
        <v>14939.877596246652</v>
      </c>
      <c r="H28" s="25">
        <f t="shared" si="0"/>
        <v>-147.91958016085664</v>
      </c>
      <c r="I28" s="26"/>
      <c r="J28" s="26"/>
    </row>
    <row r="29" spans="2:14" ht="259.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70324.478364611292</v>
      </c>
      <c r="G29" s="24">
        <f t="shared" si="2"/>
        <v>71027.723148257399</v>
      </c>
      <c r="H29" s="25">
        <f t="shared" si="0"/>
        <v>-703.24478364610695</v>
      </c>
      <c r="I29" s="26"/>
      <c r="J29" s="26"/>
      <c r="K29" s="4"/>
      <c r="L29" s="324"/>
      <c r="M29" s="316"/>
      <c r="N29" s="316"/>
    </row>
    <row r="30" spans="2:14" ht="106.5" customHeight="1" x14ac:dyDescent="0.25">
      <c r="B30" s="29" t="s">
        <v>205</v>
      </c>
      <c r="C30" s="8" t="s">
        <v>223</v>
      </c>
      <c r="D30" s="22" t="s">
        <v>201</v>
      </c>
      <c r="E30" s="99">
        <v>0.24</v>
      </c>
      <c r="F30" s="23">
        <f t="shared" si="1"/>
        <v>3008.5338337801618</v>
      </c>
      <c r="G30" s="24">
        <f t="shared" ref="G30" si="3">$N$23/$N$24*E30</f>
        <v>3038.619172117963</v>
      </c>
      <c r="H30" s="25">
        <f t="shared" si="0"/>
        <v>-30.085338337801204</v>
      </c>
      <c r="I30" s="26"/>
      <c r="J30" s="26"/>
    </row>
    <row r="31" spans="2:14" ht="56.25" customHeight="1" x14ac:dyDescent="0.25">
      <c r="B31" s="30" t="s">
        <v>206</v>
      </c>
      <c r="C31" s="8" t="s">
        <v>223</v>
      </c>
      <c r="D31" s="22" t="s">
        <v>201</v>
      </c>
      <c r="E31" s="99">
        <v>4.8899999999999997</v>
      </c>
      <c r="F31" s="23">
        <v>64588.93</v>
      </c>
      <c r="G31" s="6">
        <v>9085</v>
      </c>
      <c r="H31" s="25">
        <f>F31-G31</f>
        <v>55503.93</v>
      </c>
      <c r="I31" s="26"/>
      <c r="J31" s="26"/>
      <c r="L31" s="321"/>
    </row>
    <row r="32" spans="2:14" ht="16.5" thickBot="1" x14ac:dyDescent="0.3">
      <c r="B32" s="67" t="s">
        <v>186</v>
      </c>
      <c r="C32" s="52" t="s">
        <v>204</v>
      </c>
      <c r="D32" s="53" t="s">
        <v>201</v>
      </c>
      <c r="E32" s="100">
        <f>0.78+0.31</f>
        <v>1.0900000000000001</v>
      </c>
      <c r="F32" s="23">
        <f t="shared" si="1"/>
        <v>13663.757828418236</v>
      </c>
      <c r="G32" s="24">
        <f t="shared" ref="G32" si="4">$N$23/$N$24*E32</f>
        <v>13800.395406702417</v>
      </c>
      <c r="H32" s="33">
        <f>F32-G32</f>
        <v>-136.63757828418056</v>
      </c>
      <c r="I32" s="26"/>
      <c r="J32" s="26"/>
    </row>
    <row r="33" spans="2:14" ht="16.5" thickBot="1" x14ac:dyDescent="0.3">
      <c r="B33" s="66" t="s">
        <v>190</v>
      </c>
      <c r="C33" s="55"/>
      <c r="D33" s="55"/>
      <c r="E33" s="101">
        <f>SUM(E24:E32)</f>
        <v>16.079999999999998</v>
      </c>
      <c r="F33" s="56">
        <f>SUM(F24:F32)</f>
        <v>201727.93058981237</v>
      </c>
      <c r="G33" s="57">
        <f>SUM(G24:G32)</f>
        <v>147595.39059571049</v>
      </c>
      <c r="H33" s="38">
        <f>SUM(H24:H32)</f>
        <v>54132.539994101891</v>
      </c>
      <c r="I33" s="39"/>
      <c r="J33" s="39"/>
    </row>
    <row r="34" spans="2:14" x14ac:dyDescent="0.25">
      <c r="B34" s="17"/>
      <c r="C34" s="17"/>
      <c r="D34" s="17"/>
      <c r="E34" s="86"/>
      <c r="F34" s="86"/>
      <c r="G34" s="86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319"/>
      <c r="M36" s="317"/>
      <c r="N36" s="317"/>
    </row>
    <row r="37" spans="2:14" x14ac:dyDescent="0.25">
      <c r="B37" s="93" t="s">
        <v>15</v>
      </c>
      <c r="C37" s="222">
        <f>E37+G37</f>
        <v>1478158.4605898126</v>
      </c>
      <c r="D37" s="223"/>
      <c r="E37" s="224">
        <f>F24+F25+F26+F27+F28+F29+F30+F32+E16</f>
        <v>1043436.479436186</v>
      </c>
      <c r="F37" s="225"/>
      <c r="G37" s="224">
        <f>F31+G16</f>
        <v>434721.98115362646</v>
      </c>
      <c r="H37" s="226"/>
      <c r="I37" s="212"/>
      <c r="J37" s="212"/>
      <c r="K37" s="9"/>
      <c r="L37" s="320"/>
      <c r="M37" s="318"/>
    </row>
    <row r="38" spans="2:14" x14ac:dyDescent="0.25">
      <c r="B38" s="94" t="s">
        <v>16</v>
      </c>
      <c r="C38" s="220">
        <f>E38+G38</f>
        <v>1344832.71</v>
      </c>
      <c r="D38" s="221"/>
      <c r="E38" s="220">
        <f>E17+122799.03</f>
        <v>951644.67884637346</v>
      </c>
      <c r="F38" s="221"/>
      <c r="G38" s="220">
        <f>G17+56543.05</f>
        <v>393188.03115362651</v>
      </c>
      <c r="H38" s="251"/>
      <c r="I38" s="212"/>
      <c r="J38" s="212"/>
      <c r="K38" s="12"/>
      <c r="L38" s="320"/>
      <c r="M38" s="318"/>
    </row>
    <row r="39" spans="2:14" ht="16.5" thickBot="1" x14ac:dyDescent="0.3">
      <c r="B39" s="95" t="s">
        <v>189</v>
      </c>
      <c r="C39" s="227">
        <f>E39+G39</f>
        <v>1277082.9756957106</v>
      </c>
      <c r="D39" s="228"/>
      <c r="E39" s="246">
        <f>G24+G25+G26+G27+G28+G29+G30+G32+E18</f>
        <v>960490.97569571051</v>
      </c>
      <c r="F39" s="247"/>
      <c r="G39" s="246">
        <f>G31+G18</f>
        <v>316592</v>
      </c>
      <c r="H39" s="252"/>
      <c r="I39" s="212"/>
      <c r="J39" s="212"/>
      <c r="K39" s="44"/>
      <c r="L39" s="325"/>
    </row>
    <row r="40" spans="2:14" ht="32.25" customHeight="1" thickBot="1" x14ac:dyDescent="0.3">
      <c r="B40" s="97" t="s">
        <v>298</v>
      </c>
      <c r="C40" s="216">
        <f>E40+G40</f>
        <v>67749.73430428945</v>
      </c>
      <c r="D40" s="217"/>
      <c r="E40" s="248">
        <f>E38-E39</f>
        <v>-8846.2968493370572</v>
      </c>
      <c r="F40" s="254"/>
      <c r="G40" s="248">
        <f>G38-G39</f>
        <v>76596.031153626507</v>
      </c>
      <c r="H40" s="249"/>
      <c r="I40" s="212"/>
      <c r="J40" s="212"/>
      <c r="K40" s="44"/>
      <c r="L40" s="325"/>
    </row>
    <row r="41" spans="2:14" ht="13.5" customHeight="1" x14ac:dyDescent="0.25">
      <c r="B41" s="83"/>
      <c r="C41" s="105"/>
      <c r="D41" s="105"/>
      <c r="E41" s="106"/>
      <c r="F41" s="85"/>
      <c r="G41" s="85"/>
      <c r="H41" s="205"/>
      <c r="I41" s="205"/>
      <c r="J41" s="205"/>
      <c r="K41" s="4"/>
      <c r="L41" s="316"/>
      <c r="M41" s="316"/>
      <c r="N41" s="316"/>
    </row>
    <row r="42" spans="2:14" ht="18" customHeight="1" x14ac:dyDescent="0.25">
      <c r="B42" s="205" t="s">
        <v>180</v>
      </c>
      <c r="C42" s="232" t="s">
        <v>308</v>
      </c>
      <c r="D42" s="232"/>
      <c r="E42" s="232"/>
      <c r="F42" s="230" t="s">
        <v>10</v>
      </c>
      <c r="G42" s="230"/>
      <c r="H42" s="210"/>
      <c r="I42" s="210"/>
      <c r="J42" s="210"/>
      <c r="K42" s="4"/>
      <c r="L42" s="316"/>
      <c r="M42" s="316"/>
      <c r="N42" s="316"/>
    </row>
    <row r="43" spans="2:14" ht="11.25" customHeight="1" x14ac:dyDescent="0.25">
      <c r="B43" s="205"/>
      <c r="C43" s="205"/>
      <c r="D43" s="205"/>
      <c r="E43" s="209"/>
      <c r="F43" s="231"/>
      <c r="G43" s="231"/>
      <c r="H43" s="205"/>
      <c r="I43" s="205"/>
      <c r="J43" s="205"/>
      <c r="K43" s="4"/>
      <c r="L43" s="316"/>
      <c r="M43" s="316"/>
      <c r="N43" s="316"/>
    </row>
    <row r="44" spans="2:14" ht="14.25" customHeight="1" x14ac:dyDescent="0.25">
      <c r="B44" s="205" t="s">
        <v>181</v>
      </c>
      <c r="C44" s="232" t="s">
        <v>308</v>
      </c>
      <c r="D44" s="232"/>
      <c r="E44" s="232"/>
      <c r="F44" s="230" t="s">
        <v>208</v>
      </c>
      <c r="G44" s="230"/>
      <c r="H44" s="205"/>
      <c r="I44" s="205"/>
      <c r="J44" s="205"/>
    </row>
    <row r="45" spans="2:14" ht="7.5" customHeight="1" x14ac:dyDescent="0.25">
      <c r="B45" s="205"/>
      <c r="C45" s="205"/>
      <c r="D45" s="205"/>
      <c r="E45" s="209"/>
      <c r="F45" s="230"/>
      <c r="G45" s="230"/>
      <c r="H45" s="205"/>
      <c r="I45" s="205"/>
      <c r="J45" s="205"/>
    </row>
    <row r="46" spans="2:14" ht="15" customHeight="1" x14ac:dyDescent="0.25">
      <c r="B46" s="205" t="s">
        <v>182</v>
      </c>
      <c r="C46" s="232" t="s">
        <v>308</v>
      </c>
      <c r="D46" s="232"/>
      <c r="E46" s="232"/>
      <c r="F46" s="230" t="s">
        <v>209</v>
      </c>
      <c r="G46" s="230"/>
      <c r="H46" s="48"/>
      <c r="I46" s="48"/>
      <c r="J46" s="48"/>
    </row>
    <row r="47" spans="2:14" ht="9" customHeight="1" x14ac:dyDescent="0.25">
      <c r="B47" s="45"/>
      <c r="C47" s="45"/>
      <c r="D47" s="45"/>
      <c r="E47" s="209"/>
      <c r="F47" s="46"/>
      <c r="G47" s="47"/>
      <c r="H47" s="5"/>
    </row>
    <row r="48" spans="2:14" ht="15.75" customHeight="1" x14ac:dyDescent="0.25">
      <c r="B48" s="205" t="s">
        <v>183</v>
      </c>
      <c r="C48" s="232" t="s">
        <v>308</v>
      </c>
      <c r="D48" s="232"/>
      <c r="E48" s="232"/>
      <c r="F48" s="230" t="s">
        <v>209</v>
      </c>
      <c r="G48" s="230"/>
    </row>
  </sheetData>
  <mergeCells count="54">
    <mergeCell ref="C44:E44"/>
    <mergeCell ref="C46:E46"/>
    <mergeCell ref="F46:G46"/>
    <mergeCell ref="C48:E48"/>
    <mergeCell ref="F48:G48"/>
    <mergeCell ref="F44:G44"/>
    <mergeCell ref="F45:G45"/>
    <mergeCell ref="G40:H40"/>
    <mergeCell ref="C42:E42"/>
    <mergeCell ref="C39:D39"/>
    <mergeCell ref="C40:D40"/>
    <mergeCell ref="C18:D18"/>
    <mergeCell ref="C19:D19"/>
    <mergeCell ref="C36:D36"/>
    <mergeCell ref="C37:D37"/>
    <mergeCell ref="C38:D38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C15:D15"/>
    <mergeCell ref="C16:D16"/>
    <mergeCell ref="C17:D17"/>
    <mergeCell ref="E16:F16"/>
    <mergeCell ref="G16:H16"/>
    <mergeCell ref="E17:F17"/>
    <mergeCell ref="G17:H17"/>
    <mergeCell ref="F43:G43"/>
    <mergeCell ref="B35:H35"/>
    <mergeCell ref="E36:F36"/>
    <mergeCell ref="G36:H36"/>
    <mergeCell ref="E37:F37"/>
    <mergeCell ref="G37:H37"/>
    <mergeCell ref="E38:F38"/>
    <mergeCell ref="G38:H38"/>
    <mergeCell ref="E39:F39"/>
    <mergeCell ref="G39:H39"/>
    <mergeCell ref="F42:G42"/>
    <mergeCell ref="E40:F40"/>
    <mergeCell ref="M21:M22"/>
    <mergeCell ref="N21:N22"/>
    <mergeCell ref="E18:F18"/>
    <mergeCell ref="G18:H18"/>
    <mergeCell ref="E19:F19"/>
    <mergeCell ref="G19:H19"/>
  </mergeCells>
  <printOptions horizontalCentered="1"/>
  <pageMargins left="0.19685039370078741" right="0.19685039370078741" top="0.31496062992125984" bottom="0.23622047244094491" header="0.31496062992125984" footer="0.31496062992125984"/>
  <pageSetup paperSize="9" scale="4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49"/>
  <sheetViews>
    <sheetView topLeftCell="A19" zoomScale="110" zoomScaleNormal="110" workbookViewId="0">
      <selection activeCell="M28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42578125" style="5" customWidth="1"/>
    <col min="3" max="3" width="21.5703125" style="82" customWidth="1"/>
    <col min="4" max="4" width="8.28515625" style="82" customWidth="1"/>
    <col min="5" max="5" width="10" style="82" customWidth="1"/>
    <col min="6" max="6" width="9.85546875" style="5" customWidth="1"/>
    <col min="7" max="7" width="10.28515625" style="5" customWidth="1"/>
    <col min="8" max="8" width="11" style="82" customWidth="1"/>
    <col min="9" max="9" width="10.7109375" style="5" bestFit="1" customWidth="1"/>
    <col min="10" max="11" width="11.7109375" style="5" customWidth="1"/>
    <col min="12" max="12" width="9.140625" style="5"/>
    <col min="13" max="13" width="14.28515625" style="310" customWidth="1"/>
    <col min="14" max="14" width="14.5703125" style="310" customWidth="1"/>
    <col min="15" max="16384" width="9.140625" style="5"/>
  </cols>
  <sheetData>
    <row r="1" spans="2:9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9" ht="21" customHeight="1" x14ac:dyDescent="0.35">
      <c r="B3" s="265"/>
      <c r="C3" s="265"/>
      <c r="D3" s="265"/>
      <c r="E3" s="265"/>
      <c r="F3" s="265"/>
      <c r="G3" s="265"/>
      <c r="H3" s="265"/>
      <c r="I3" s="59"/>
    </row>
    <row r="4" spans="2:9" ht="16.5" customHeight="1" x14ac:dyDescent="0.25"/>
    <row r="5" spans="2:9" x14ac:dyDescent="0.25">
      <c r="B5" s="10" t="s">
        <v>0</v>
      </c>
      <c r="C5" s="48"/>
      <c r="D5" s="234" t="s">
        <v>75</v>
      </c>
      <c r="E5" s="234"/>
    </row>
    <row r="6" spans="2:9" x14ac:dyDescent="0.25">
      <c r="B6" s="10" t="s">
        <v>1</v>
      </c>
      <c r="C6" s="48"/>
      <c r="D6" s="207">
        <v>1959</v>
      </c>
      <c r="E6" s="207"/>
    </row>
    <row r="7" spans="2:9" hidden="1" outlineLevel="1" x14ac:dyDescent="0.25">
      <c r="B7" s="10" t="s">
        <v>2</v>
      </c>
      <c r="C7" s="48"/>
      <c r="D7" s="207">
        <v>2</v>
      </c>
      <c r="E7" s="207"/>
    </row>
    <row r="8" spans="2:9" hidden="1" outlineLevel="1" x14ac:dyDescent="0.25">
      <c r="B8" s="10" t="s">
        <v>3</v>
      </c>
      <c r="C8" s="48"/>
      <c r="D8" s="207">
        <v>10</v>
      </c>
      <c r="E8" s="207"/>
    </row>
    <row r="9" spans="2:9" ht="30.75" hidden="1" customHeight="1" outlineLevel="1" x14ac:dyDescent="0.25">
      <c r="B9" s="122" t="s">
        <v>4</v>
      </c>
      <c r="C9" s="133"/>
      <c r="D9" s="207" t="s">
        <v>76</v>
      </c>
      <c r="E9" s="207"/>
    </row>
    <row r="10" spans="2:9" collapsed="1" x14ac:dyDescent="0.25">
      <c r="B10" s="10" t="s">
        <v>5</v>
      </c>
      <c r="C10" s="48"/>
      <c r="D10" s="207" t="s">
        <v>249</v>
      </c>
      <c r="E10" s="207"/>
      <c r="I10" s="17"/>
    </row>
    <row r="11" spans="2:9" hidden="1" outlineLevel="1" x14ac:dyDescent="0.25">
      <c r="B11" s="5" t="s">
        <v>6</v>
      </c>
      <c r="D11" s="208" t="s">
        <v>77</v>
      </c>
      <c r="E11" s="208"/>
    </row>
    <row r="12" spans="2:9" ht="30.75" hidden="1" customHeight="1" outlineLevel="1" x14ac:dyDescent="0.25">
      <c r="B12" s="14" t="s">
        <v>7</v>
      </c>
      <c r="C12" s="79"/>
      <c r="D12" s="91" t="s">
        <v>78</v>
      </c>
      <c r="E12" s="208"/>
      <c r="I12" s="17"/>
    </row>
    <row r="13" spans="2:9" collapsed="1" x14ac:dyDescent="0.25">
      <c r="B13" s="14"/>
      <c r="C13" s="79"/>
      <c r="D13" s="91"/>
      <c r="E13" s="208"/>
      <c r="I13" s="17"/>
    </row>
    <row r="14" spans="2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9" ht="46.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9" x14ac:dyDescent="0.25">
      <c r="B16" s="93" t="s">
        <v>15</v>
      </c>
      <c r="C16" s="222">
        <v>611533.88</v>
      </c>
      <c r="D16" s="253"/>
      <c r="E16" s="224">
        <v>409391.86000000004</v>
      </c>
      <c r="F16" s="225"/>
      <c r="G16" s="224">
        <v>202142.02</v>
      </c>
      <c r="H16" s="226"/>
      <c r="I16" s="17"/>
    </row>
    <row r="17" spans="2:14" x14ac:dyDescent="0.25">
      <c r="B17" s="94" t="s">
        <v>16</v>
      </c>
      <c r="C17" s="220">
        <v>521744.80000000005</v>
      </c>
      <c r="D17" s="221"/>
      <c r="E17" s="220">
        <v>348923.62</v>
      </c>
      <c r="F17" s="221"/>
      <c r="G17" s="220">
        <v>172821.18000000002</v>
      </c>
      <c r="H17" s="251"/>
      <c r="I17" s="17"/>
    </row>
    <row r="18" spans="2:14" ht="16.5" thickBot="1" x14ac:dyDescent="0.3">
      <c r="B18" s="95" t="s">
        <v>189</v>
      </c>
      <c r="C18" s="220">
        <v>580541.03110000002</v>
      </c>
      <c r="D18" s="221"/>
      <c r="E18" s="246">
        <v>404699.03110000002</v>
      </c>
      <c r="F18" s="247"/>
      <c r="G18" s="246">
        <v>175842</v>
      </c>
      <c r="H18" s="252"/>
      <c r="I18" s="17"/>
    </row>
    <row r="19" spans="2:14" ht="33" customHeight="1" thickBot="1" x14ac:dyDescent="0.3">
      <c r="B19" s="97" t="s">
        <v>297</v>
      </c>
      <c r="C19" s="216">
        <f>E19+G19</f>
        <v>-58796.231100000005</v>
      </c>
      <c r="D19" s="217"/>
      <c r="E19" s="248">
        <f>E17-E18</f>
        <v>-55775.411100000027</v>
      </c>
      <c r="F19" s="254"/>
      <c r="G19" s="248">
        <f>G17-G18</f>
        <v>-3020.8199999999779</v>
      </c>
      <c r="H19" s="249"/>
      <c r="I19" s="17"/>
    </row>
    <row r="20" spans="2:14" x14ac:dyDescent="0.25">
      <c r="B20" s="14"/>
      <c r="C20" s="64"/>
      <c r="D20" s="91"/>
      <c r="E20" s="208"/>
      <c r="F20" s="82"/>
      <c r="I20" s="17"/>
    </row>
    <row r="21" spans="2:14" ht="21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35.2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4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66761.56</v>
      </c>
      <c r="N23" s="314">
        <f>M23*1.01</f>
        <v>67429.175600000002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6695.104408703879</v>
      </c>
      <c r="G24" s="24">
        <f>$N$23/$N$24*E24</f>
        <v>6762.055452790918</v>
      </c>
      <c r="H24" s="25">
        <f>F24-G24</f>
        <v>-66.951044087039008</v>
      </c>
      <c r="I24" s="26"/>
      <c r="J24" s="26"/>
      <c r="K24" s="27"/>
      <c r="L24" s="28"/>
      <c r="M24" s="315">
        <f>E33-E31</f>
        <v>10.57</v>
      </c>
      <c r="N24" s="315">
        <f>E33-E31</f>
        <v>10.57</v>
      </c>
    </row>
    <row r="25" spans="2:14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7516.2021192052971</v>
      </c>
      <c r="G25" s="24">
        <f>$N$23/$N$24*E25</f>
        <v>7591.3641403973506</v>
      </c>
      <c r="H25" s="25">
        <f t="shared" ref="H25:H30" si="0">F25-G25</f>
        <v>-75.162021192053544</v>
      </c>
      <c r="I25" s="26"/>
      <c r="J25" s="26"/>
      <c r="K25" s="4"/>
      <c r="L25" s="4"/>
      <c r="M25" s="316"/>
      <c r="N25" s="316"/>
    </row>
    <row r="26" spans="2:14" ht="55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2021.1635950804161</v>
      </c>
      <c r="G26" s="24">
        <f t="shared" ref="G26:G29" si="2">$N$23/$N$24*E26</f>
        <v>2041.3752310312204</v>
      </c>
      <c r="H26" s="25">
        <f t="shared" si="0"/>
        <v>-20.211635950804293</v>
      </c>
      <c r="I26" s="26"/>
      <c r="J26" s="26"/>
      <c r="L26" s="17"/>
    </row>
    <row r="27" spans="2:14" ht="29.25" customHeight="1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526.34468621885833</v>
      </c>
      <c r="G27" s="24">
        <f>($N$23/12*2)/$N$24*E27</f>
        <v>531.60813308104707</v>
      </c>
      <c r="H27" s="25">
        <f t="shared" si="0"/>
        <v>-5.2634468621887436</v>
      </c>
      <c r="I27" s="26"/>
      <c r="J27" s="26"/>
      <c r="L27" s="17"/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7453.0407568590344</v>
      </c>
      <c r="G28" s="24">
        <f t="shared" si="2"/>
        <v>7527.5711644276253</v>
      </c>
      <c r="H28" s="25">
        <f t="shared" si="0"/>
        <v>-74.530407568590817</v>
      </c>
      <c r="I28" s="26"/>
      <c r="J28" s="26"/>
    </row>
    <row r="29" spans="2:14" ht="215.2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35433.524276253549</v>
      </c>
      <c r="G29" s="24">
        <f t="shared" si="2"/>
        <v>35787.859519016085</v>
      </c>
      <c r="H29" s="25">
        <f t="shared" si="0"/>
        <v>-354.33524276253593</v>
      </c>
      <c r="I29" s="26"/>
      <c r="J29" s="26"/>
      <c r="K29" s="4"/>
      <c r="L29" s="3"/>
      <c r="M29" s="316"/>
      <c r="N29" s="316"/>
    </row>
    <row r="30" spans="2:14" ht="109.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1200.0658845789972</v>
      </c>
      <c r="G30" s="24">
        <f t="shared" ref="G30" si="3">$N$23/$N$24*E30</f>
        <v>1212.0665434247871</v>
      </c>
      <c r="H30" s="25">
        <f t="shared" si="0"/>
        <v>-12.000658845789985</v>
      </c>
      <c r="I30" s="26"/>
      <c r="J30" s="26"/>
    </row>
    <row r="31" spans="2:14" ht="56.25" customHeight="1" x14ac:dyDescent="0.25">
      <c r="B31" s="30" t="s">
        <v>206</v>
      </c>
      <c r="C31" s="8" t="s">
        <v>223</v>
      </c>
      <c r="D31" s="22" t="s">
        <v>201</v>
      </c>
      <c r="E31" s="99">
        <v>5.75</v>
      </c>
      <c r="F31" s="23">
        <v>39331.86</v>
      </c>
      <c r="G31" s="6">
        <v>6831</v>
      </c>
      <c r="H31" s="25">
        <f>F31-G31</f>
        <v>32500.86</v>
      </c>
      <c r="I31" s="26"/>
      <c r="J31" s="26"/>
      <c r="L31" s="17"/>
    </row>
    <row r="32" spans="2:14" ht="16.5" thickBot="1" x14ac:dyDescent="0.3">
      <c r="B32" s="67" t="s">
        <v>186</v>
      </c>
      <c r="C32" s="52" t="s">
        <v>204</v>
      </c>
      <c r="D32" s="53" t="s">
        <v>201</v>
      </c>
      <c r="E32" s="100">
        <f>0.21+0.31</f>
        <v>0.52</v>
      </c>
      <c r="F32" s="23">
        <f t="shared" si="1"/>
        <v>3284.3908420056764</v>
      </c>
      <c r="G32" s="24">
        <f t="shared" ref="G32" si="4">$N$23/$N$24*E32</f>
        <v>3317.2347504257332</v>
      </c>
      <c r="H32" s="33">
        <f>F32-G32</f>
        <v>-32.843908420056778</v>
      </c>
      <c r="I32" s="26"/>
      <c r="J32" s="26"/>
    </row>
    <row r="33" spans="2:14" ht="16.5" thickBot="1" x14ac:dyDescent="0.3">
      <c r="B33" s="66" t="s">
        <v>190</v>
      </c>
      <c r="C33" s="55"/>
      <c r="D33" s="55"/>
      <c r="E33" s="101">
        <f>SUM(E24:E32)</f>
        <v>16.32</v>
      </c>
      <c r="F33" s="56">
        <f>SUM(F24:F32)</f>
        <v>103461.69656890571</v>
      </c>
      <c r="G33" s="57">
        <f>SUM(G24:G32)</f>
        <v>71602.134934594767</v>
      </c>
      <c r="H33" s="38">
        <f>SUM(H24:H32)</f>
        <v>31859.56163431094</v>
      </c>
      <c r="I33" s="39"/>
      <c r="J33" s="39"/>
    </row>
    <row r="34" spans="2:14" x14ac:dyDescent="0.25">
      <c r="B34" s="17"/>
      <c r="C34" s="17"/>
      <c r="D34" s="17"/>
      <c r="E34" s="86"/>
      <c r="F34" s="86"/>
      <c r="G34" s="86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x14ac:dyDescent="0.25">
      <c r="B37" s="93" t="s">
        <v>15</v>
      </c>
      <c r="C37" s="222">
        <f>E37+G37</f>
        <v>714995.57656890573</v>
      </c>
      <c r="D37" s="223"/>
      <c r="E37" s="224">
        <f>F24+F25+F26+F27+F28+F29+F30+F32+E16</f>
        <v>473521.69656890573</v>
      </c>
      <c r="F37" s="225"/>
      <c r="G37" s="224">
        <f>F31+G16</f>
        <v>241473.88</v>
      </c>
      <c r="H37" s="226"/>
      <c r="I37" s="212"/>
      <c r="J37" s="212"/>
      <c r="K37" s="9"/>
      <c r="L37" s="9"/>
      <c r="M37" s="318"/>
    </row>
    <row r="38" spans="2:14" x14ac:dyDescent="0.25">
      <c r="B38" s="94" t="s">
        <v>16</v>
      </c>
      <c r="C38" s="220">
        <f>E38+G38</f>
        <v>595827.43000000005</v>
      </c>
      <c r="D38" s="221"/>
      <c r="E38" s="220">
        <f>E17+46618.08</f>
        <v>395541.7</v>
      </c>
      <c r="F38" s="221"/>
      <c r="G38" s="220">
        <f>G17+27464.55</f>
        <v>200285.73</v>
      </c>
      <c r="H38" s="251"/>
      <c r="I38" s="212"/>
      <c r="J38" s="212"/>
      <c r="K38" s="12"/>
      <c r="L38" s="9"/>
      <c r="M38" s="318"/>
    </row>
    <row r="39" spans="2:14" ht="16.5" thickBot="1" x14ac:dyDescent="0.3">
      <c r="B39" s="95" t="s">
        <v>189</v>
      </c>
      <c r="C39" s="227">
        <f>E39+G39</f>
        <v>652143.16603459476</v>
      </c>
      <c r="D39" s="228"/>
      <c r="E39" s="246">
        <f>G24+G25+G26+G27+G28+G29+G30+G32+E18</f>
        <v>469470.16603459476</v>
      </c>
      <c r="F39" s="247"/>
      <c r="G39" s="246">
        <f>G31+G18</f>
        <v>182673</v>
      </c>
      <c r="H39" s="252"/>
      <c r="I39" s="212"/>
      <c r="J39" s="212"/>
      <c r="K39" s="44"/>
      <c r="L39" s="44"/>
    </row>
    <row r="40" spans="2:14" ht="36.75" thickBot="1" x14ac:dyDescent="0.3">
      <c r="B40" s="97" t="s">
        <v>298</v>
      </c>
      <c r="C40" s="216">
        <f>E40+G40</f>
        <v>-56315.736034594738</v>
      </c>
      <c r="D40" s="217"/>
      <c r="E40" s="248">
        <f>E38-E39</f>
        <v>-73928.466034594749</v>
      </c>
      <c r="F40" s="254"/>
      <c r="G40" s="248">
        <f>G38-G39</f>
        <v>17612.73000000001</v>
      </c>
      <c r="H40" s="249"/>
      <c r="I40" s="212"/>
      <c r="J40" s="212"/>
      <c r="K40" s="44"/>
      <c r="L40" s="44"/>
    </row>
    <row r="41" spans="2:14" ht="34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205"/>
      <c r="I41" s="205"/>
      <c r="J41" s="205"/>
      <c r="K41" s="4"/>
      <c r="L41" s="4"/>
      <c r="M41" s="316"/>
      <c r="N41" s="316"/>
    </row>
    <row r="42" spans="2:14" ht="11.25" customHeight="1" x14ac:dyDescent="0.25">
      <c r="B42" s="205"/>
      <c r="C42" s="205"/>
      <c r="D42" s="205"/>
      <c r="E42" s="209"/>
      <c r="F42" s="231"/>
      <c r="G42" s="231"/>
      <c r="H42" s="210"/>
      <c r="I42" s="210"/>
      <c r="J42" s="210"/>
      <c r="K42" s="4"/>
      <c r="L42" s="4"/>
      <c r="M42" s="316"/>
      <c r="N42" s="316"/>
    </row>
    <row r="43" spans="2:14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205"/>
      <c r="I43" s="205"/>
      <c r="J43" s="205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0"/>
      <c r="G44" s="230"/>
      <c r="H44" s="205"/>
      <c r="I44" s="205"/>
      <c r="J44" s="205"/>
    </row>
    <row r="45" spans="2:14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205"/>
      <c r="I45" s="205"/>
      <c r="J45" s="205"/>
    </row>
    <row r="46" spans="2:14" ht="8.25" customHeight="1" x14ac:dyDescent="0.25">
      <c r="B46" s="45"/>
      <c r="C46" s="45"/>
      <c r="D46" s="45"/>
      <c r="E46" s="209"/>
      <c r="F46" s="46"/>
      <c r="G46" s="47"/>
      <c r="H46" s="48"/>
      <c r="I46" s="48"/>
      <c r="J46" s="48"/>
    </row>
    <row r="47" spans="2:14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5"/>
    </row>
    <row r="48" spans="2:14" ht="9.75" customHeight="1" x14ac:dyDescent="0.25">
      <c r="C48" s="86"/>
      <c r="E48" s="209"/>
      <c r="F48" s="82"/>
    </row>
    <row r="49" spans="3:6" x14ac:dyDescent="0.25">
      <c r="C49" s="86"/>
      <c r="F49" s="82"/>
    </row>
  </sheetData>
  <mergeCells count="54">
    <mergeCell ref="C18:D18"/>
    <mergeCell ref="C19:D19"/>
    <mergeCell ref="C36:D36"/>
    <mergeCell ref="C37:D37"/>
    <mergeCell ref="C38:D38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B14:H14"/>
    <mergeCell ref="E15:F15"/>
    <mergeCell ref="G15:H15"/>
    <mergeCell ref="D5:E5"/>
    <mergeCell ref="C15:D15"/>
    <mergeCell ref="C16:D16"/>
    <mergeCell ref="C17:D17"/>
    <mergeCell ref="E16:F16"/>
    <mergeCell ref="G16:H16"/>
    <mergeCell ref="E17:F17"/>
    <mergeCell ref="G17:H17"/>
    <mergeCell ref="F42:G42"/>
    <mergeCell ref="E38:F38"/>
    <mergeCell ref="G38:H38"/>
    <mergeCell ref="F41:G41"/>
    <mergeCell ref="B35:H35"/>
    <mergeCell ref="E36:F36"/>
    <mergeCell ref="G36:H36"/>
    <mergeCell ref="E37:F37"/>
    <mergeCell ref="G37:H37"/>
    <mergeCell ref="E39:F39"/>
    <mergeCell ref="G39:H39"/>
    <mergeCell ref="E40:F40"/>
    <mergeCell ref="N21:N22"/>
    <mergeCell ref="E18:F18"/>
    <mergeCell ref="G18:H18"/>
    <mergeCell ref="E19:F19"/>
    <mergeCell ref="G19:H19"/>
    <mergeCell ref="C41:E41"/>
    <mergeCell ref="C43:E43"/>
    <mergeCell ref="C45:E45"/>
    <mergeCell ref="C47:E47"/>
    <mergeCell ref="M21:M22"/>
    <mergeCell ref="F47:G47"/>
    <mergeCell ref="F43:G43"/>
    <mergeCell ref="F44:G44"/>
    <mergeCell ref="F45:G45"/>
    <mergeCell ref="G40:H40"/>
    <mergeCell ref="C39:D39"/>
    <mergeCell ref="C40:D40"/>
  </mergeCells>
  <printOptions horizontalCentered="1"/>
  <pageMargins left="0.19685039370078741" right="0.19685039370078741" top="0.15748031496062992" bottom="0.23622047244094491" header="0.15748031496062992" footer="0.23622047244094491"/>
  <pageSetup paperSize="9" scale="4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48"/>
  <sheetViews>
    <sheetView topLeftCell="A6" zoomScale="110" zoomScaleNormal="110" workbookViewId="0">
      <selection activeCell="M6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5.85546875" style="5" customWidth="1"/>
    <col min="3" max="3" width="22" style="63" customWidth="1"/>
    <col min="4" max="4" width="9.5703125" style="82" customWidth="1"/>
    <col min="5" max="5" width="10.28515625" style="82" customWidth="1"/>
    <col min="6" max="6" width="9.42578125" style="5" customWidth="1"/>
    <col min="7" max="7" width="10.42578125" style="5" customWidth="1"/>
    <col min="8" max="8" width="10.5703125" style="5" customWidth="1"/>
    <col min="9" max="9" width="10.7109375" style="5" bestFit="1" customWidth="1"/>
    <col min="10" max="11" width="9.140625" style="5"/>
    <col min="12" max="12" width="11" style="5" customWidth="1"/>
    <col min="13" max="13" width="13.28515625" style="310" customWidth="1"/>
    <col min="14" max="14" width="13.7109375" style="310" customWidth="1"/>
    <col min="15" max="15" width="9.42578125" style="5" bestFit="1" customWidth="1"/>
    <col min="16" max="16384" width="9.140625" style="5"/>
  </cols>
  <sheetData>
    <row r="1" spans="2:9" x14ac:dyDescent="0.25">
      <c r="B1" s="255" t="s">
        <v>211</v>
      </c>
      <c r="C1" s="255"/>
      <c r="D1" s="255"/>
      <c r="E1" s="255"/>
      <c r="F1" s="255"/>
      <c r="G1" s="255"/>
      <c r="H1" s="255"/>
    </row>
    <row r="2" spans="2:9" ht="15.75" customHeight="1" x14ac:dyDescent="0.35">
      <c r="B2" s="265" t="s">
        <v>323</v>
      </c>
      <c r="C2" s="265"/>
      <c r="D2" s="265"/>
      <c r="E2" s="265"/>
      <c r="F2" s="265"/>
      <c r="G2" s="265"/>
      <c r="H2" s="265"/>
      <c r="I2" s="59"/>
    </row>
    <row r="3" spans="2:9" ht="22.5" customHeight="1" x14ac:dyDescent="0.35">
      <c r="B3" s="265"/>
      <c r="C3" s="265"/>
      <c r="D3" s="265"/>
      <c r="E3" s="265"/>
      <c r="F3" s="265"/>
      <c r="G3" s="265"/>
      <c r="H3" s="265"/>
      <c r="I3" s="59"/>
    </row>
    <row r="4" spans="2:9" ht="8.25" customHeight="1" x14ac:dyDescent="0.25"/>
    <row r="5" spans="2:9" x14ac:dyDescent="0.25">
      <c r="B5" s="10" t="s">
        <v>0</v>
      </c>
      <c r="C5" s="127"/>
      <c r="D5" s="234" t="s">
        <v>79</v>
      </c>
      <c r="E5" s="234"/>
    </row>
    <row r="6" spans="2:9" x14ac:dyDescent="0.25">
      <c r="B6" s="10" t="s">
        <v>1</v>
      </c>
      <c r="C6" s="127"/>
      <c r="D6" s="207">
        <v>1956</v>
      </c>
      <c r="E6" s="207"/>
    </row>
    <row r="7" spans="2:9" hidden="1" outlineLevel="1" x14ac:dyDescent="0.25">
      <c r="B7" s="10" t="s">
        <v>2</v>
      </c>
      <c r="C7" s="127"/>
      <c r="D7" s="207">
        <v>2</v>
      </c>
      <c r="E7" s="207"/>
    </row>
    <row r="8" spans="2:9" hidden="1" outlineLevel="1" x14ac:dyDescent="0.25">
      <c r="B8" s="10" t="s">
        <v>3</v>
      </c>
      <c r="C8" s="127"/>
      <c r="D8" s="207">
        <v>12</v>
      </c>
      <c r="E8" s="207"/>
    </row>
    <row r="9" spans="2:9" ht="30.75" hidden="1" customHeight="1" outlineLevel="1" x14ac:dyDescent="0.25">
      <c r="B9" s="122" t="s">
        <v>4</v>
      </c>
      <c r="C9" s="128"/>
      <c r="D9" s="207" t="s">
        <v>80</v>
      </c>
      <c r="E9" s="207"/>
    </row>
    <row r="10" spans="2:9" collapsed="1" x14ac:dyDescent="0.25">
      <c r="B10" s="10" t="s">
        <v>5</v>
      </c>
      <c r="C10" s="127"/>
      <c r="D10" s="207" t="s">
        <v>250</v>
      </c>
      <c r="E10" s="207"/>
      <c r="I10" s="17"/>
    </row>
    <row r="11" spans="2:9" hidden="1" outlineLevel="1" x14ac:dyDescent="0.25">
      <c r="B11" s="5" t="s">
        <v>6</v>
      </c>
      <c r="D11" s="208" t="s">
        <v>13</v>
      </c>
      <c r="E11" s="208"/>
    </row>
    <row r="12" spans="2:9" ht="30.75" hidden="1" customHeight="1" outlineLevel="1" x14ac:dyDescent="0.25">
      <c r="B12" s="14" t="s">
        <v>7</v>
      </c>
      <c r="C12" s="64"/>
      <c r="D12" s="91" t="s">
        <v>59</v>
      </c>
      <c r="E12" s="208"/>
      <c r="I12" s="17"/>
    </row>
    <row r="13" spans="2:9" ht="8.25" customHeight="1" collapsed="1" x14ac:dyDescent="0.25">
      <c r="B13" s="14"/>
      <c r="C13" s="64"/>
      <c r="D13" s="91"/>
      <c r="E13" s="208"/>
      <c r="I13" s="17"/>
    </row>
    <row r="14" spans="2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2:9" ht="45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2:9" x14ac:dyDescent="0.25">
      <c r="B16" s="93" t="s">
        <v>15</v>
      </c>
      <c r="C16" s="222">
        <v>651651.58000000007</v>
      </c>
      <c r="D16" s="253"/>
      <c r="E16" s="224">
        <v>447442.97000000009</v>
      </c>
      <c r="F16" s="225"/>
      <c r="G16" s="224">
        <v>204208.61</v>
      </c>
      <c r="H16" s="226"/>
      <c r="I16" s="17"/>
    </row>
    <row r="17" spans="2:14" x14ac:dyDescent="0.25">
      <c r="B17" s="94" t="s">
        <v>16</v>
      </c>
      <c r="C17" s="220">
        <v>644922.96</v>
      </c>
      <c r="D17" s="221"/>
      <c r="E17" s="220">
        <v>442831.06</v>
      </c>
      <c r="F17" s="221"/>
      <c r="G17" s="220">
        <v>202091.90000000002</v>
      </c>
      <c r="H17" s="251"/>
      <c r="I17" s="17"/>
    </row>
    <row r="18" spans="2:14" ht="16.5" thickBot="1" x14ac:dyDescent="0.3">
      <c r="B18" s="95" t="s">
        <v>189</v>
      </c>
      <c r="C18" s="220">
        <v>654636.97840000002</v>
      </c>
      <c r="D18" s="221"/>
      <c r="E18" s="246">
        <v>452791.97840000002</v>
      </c>
      <c r="F18" s="247"/>
      <c r="G18" s="246">
        <v>201845</v>
      </c>
      <c r="H18" s="252"/>
      <c r="I18" s="17"/>
    </row>
    <row r="19" spans="2:14" ht="30.75" customHeight="1" thickBot="1" x14ac:dyDescent="0.3">
      <c r="B19" s="97" t="s">
        <v>297</v>
      </c>
      <c r="C19" s="216">
        <f>E19+G19</f>
        <v>-9714.0184000000008</v>
      </c>
      <c r="D19" s="217"/>
      <c r="E19" s="248">
        <f>E17-E18</f>
        <v>-9960.9184000000241</v>
      </c>
      <c r="F19" s="254"/>
      <c r="G19" s="248">
        <f>G17-G18</f>
        <v>246.90000000002328</v>
      </c>
      <c r="H19" s="249"/>
      <c r="I19" s="17"/>
    </row>
    <row r="20" spans="2:14" x14ac:dyDescent="0.25">
      <c r="B20" s="14"/>
      <c r="C20" s="64"/>
      <c r="D20" s="91"/>
      <c r="E20" s="208"/>
      <c r="F20" s="82"/>
      <c r="H20" s="82"/>
      <c r="I20" s="17"/>
    </row>
    <row r="21" spans="2:14" ht="19.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35.2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4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75201.490000000005</v>
      </c>
      <c r="N23" s="314">
        <f>M23*1.01</f>
        <v>75953.5049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7463.8182958801508</v>
      </c>
      <c r="G24" s="24">
        <f>$N$23/$N$24*E24</f>
        <v>7538.4564788389525</v>
      </c>
      <c r="H24" s="25">
        <f>F24-G24</f>
        <v>-74.638182958801735</v>
      </c>
      <c r="I24" s="26"/>
      <c r="J24" s="26"/>
      <c r="K24" s="27"/>
      <c r="L24" s="28"/>
      <c r="M24" s="315">
        <f>E33-E31</f>
        <v>10.68</v>
      </c>
      <c r="N24" s="315">
        <f>E33-E31</f>
        <v>10.68</v>
      </c>
    </row>
    <row r="25" spans="2:14" ht="56.25" x14ac:dyDescent="0.25">
      <c r="B25" s="29" t="s">
        <v>202</v>
      </c>
      <c r="C25" s="8" t="s">
        <v>223</v>
      </c>
      <c r="D25" s="22" t="s">
        <v>201</v>
      </c>
      <c r="E25" s="99">
        <v>1.17</v>
      </c>
      <c r="F25" s="23">
        <f>$M$23/$M$24*E25</f>
        <v>8238.3654775280902</v>
      </c>
      <c r="G25" s="24">
        <f>$N$23/$N$24*E25</f>
        <v>8320.7491323033701</v>
      </c>
      <c r="H25" s="25">
        <f t="shared" ref="H25:H30" si="0">F25-G25</f>
        <v>-82.383654775279865</v>
      </c>
      <c r="I25" s="26"/>
      <c r="J25" s="26"/>
      <c r="K25" s="4"/>
      <c r="L25" s="4"/>
      <c r="M25" s="316"/>
      <c r="N25" s="316"/>
    </row>
    <row r="26" spans="2:14" ht="55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2253.2281647940076</v>
      </c>
      <c r="G26" s="24">
        <f t="shared" ref="G26:G29" si="2">$N$23/$N$24*E26</f>
        <v>2275.7604464419478</v>
      </c>
      <c r="H26" s="25">
        <f t="shared" si="0"/>
        <v>-22.532281647940181</v>
      </c>
      <c r="I26" s="26"/>
      <c r="J26" s="26"/>
      <c r="L26" s="17"/>
    </row>
    <row r="27" spans="2:14" ht="29.25" customHeight="1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586.77816791510611</v>
      </c>
      <c r="G27" s="24">
        <f>($N$23/12*2)/$N$24*E27</f>
        <v>592.64594959425722</v>
      </c>
      <c r="H27" s="25">
        <f t="shared" si="0"/>
        <v>-5.8677816791511077</v>
      </c>
      <c r="I27" s="26"/>
      <c r="J27" s="26"/>
      <c r="L27" s="17"/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8308.7788576779021</v>
      </c>
      <c r="G28" s="24">
        <f t="shared" si="2"/>
        <v>8391.8666462546826</v>
      </c>
      <c r="H28" s="25">
        <f t="shared" si="0"/>
        <v>-83.08778857678044</v>
      </c>
      <c r="I28" s="26"/>
      <c r="J28" s="26"/>
    </row>
    <row r="29" spans="2:14" ht="219.7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39501.906264044948</v>
      </c>
      <c r="G29" s="24">
        <f t="shared" si="2"/>
        <v>39896.925326685399</v>
      </c>
      <c r="H29" s="25">
        <f t="shared" si="0"/>
        <v>-395.01906264045101</v>
      </c>
      <c r="I29" s="26"/>
      <c r="J29" s="26"/>
      <c r="K29" s="4"/>
      <c r="L29" s="3"/>
      <c r="M29" s="316"/>
      <c r="N29" s="316"/>
    </row>
    <row r="30" spans="2:14" ht="109.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1337.8542228464421</v>
      </c>
      <c r="G30" s="24">
        <f t="shared" ref="G30" si="3">$N$23/$N$24*E30</f>
        <v>1351.2327650749064</v>
      </c>
      <c r="H30" s="25">
        <f t="shared" si="0"/>
        <v>-13.378542228464312</v>
      </c>
      <c r="I30" s="26"/>
      <c r="J30" s="26"/>
    </row>
    <row r="31" spans="2:14" ht="56.25" customHeight="1" x14ac:dyDescent="0.25">
      <c r="B31" s="30" t="s">
        <v>206</v>
      </c>
      <c r="C31" s="8" t="s">
        <v>223</v>
      </c>
      <c r="D31" s="22" t="s">
        <v>201</v>
      </c>
      <c r="E31" s="99">
        <v>5.16</v>
      </c>
      <c r="F31" s="23">
        <v>39275.269999999997</v>
      </c>
      <c r="G31" s="6">
        <v>0</v>
      </c>
      <c r="H31" s="25">
        <f>F31-G31</f>
        <v>39275.269999999997</v>
      </c>
      <c r="I31" s="26"/>
      <c r="J31" s="26"/>
      <c r="L31" s="17"/>
    </row>
    <row r="32" spans="2:14" ht="16.5" thickBot="1" x14ac:dyDescent="0.3">
      <c r="B32" s="67" t="s">
        <v>186</v>
      </c>
      <c r="C32" s="52" t="s">
        <v>204</v>
      </c>
      <c r="D32" s="53" t="s">
        <v>201</v>
      </c>
      <c r="E32" s="100">
        <f>0.33+0.32</f>
        <v>0.65</v>
      </c>
      <c r="F32" s="23">
        <f t="shared" si="1"/>
        <v>4576.8697097378281</v>
      </c>
      <c r="G32" s="24">
        <f t="shared" ref="G32" si="4">$N$23/$N$24*E32</f>
        <v>4622.6384068352063</v>
      </c>
      <c r="H32" s="33">
        <f>F32-G32</f>
        <v>-45.768697097378208</v>
      </c>
      <c r="I32" s="26"/>
      <c r="J32" s="26"/>
    </row>
    <row r="33" spans="2:14" ht="16.5" thickBot="1" x14ac:dyDescent="0.3">
      <c r="B33" s="66" t="s">
        <v>190</v>
      </c>
      <c r="C33" s="55"/>
      <c r="D33" s="55"/>
      <c r="E33" s="101">
        <f>SUM(E24:E32)</f>
        <v>15.84</v>
      </c>
      <c r="F33" s="56">
        <f>SUM(F24:F32)</f>
        <v>111542.86916042448</v>
      </c>
      <c r="G33" s="57">
        <f>SUM(G24:G32)</f>
        <v>72990.275152028727</v>
      </c>
      <c r="H33" s="38">
        <f>SUM(H24:H32)</f>
        <v>38552.594008395747</v>
      </c>
      <c r="I33" s="39"/>
      <c r="J33" s="39"/>
    </row>
    <row r="34" spans="2:14" ht="13.5" customHeight="1" x14ac:dyDescent="0.25">
      <c r="B34" s="17"/>
      <c r="C34" s="17"/>
      <c r="D34" s="17"/>
      <c r="E34" s="86"/>
      <c r="F34" s="86"/>
      <c r="G34" s="86"/>
      <c r="H34" s="82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x14ac:dyDescent="0.25">
      <c r="B37" s="93" t="s">
        <v>15</v>
      </c>
      <c r="C37" s="222">
        <f>E37+G37</f>
        <v>763194.44916042453</v>
      </c>
      <c r="D37" s="223"/>
      <c r="E37" s="224">
        <f>F24+F25+F26+F27+F28+F29+F30+F32+E16</f>
        <v>519710.56916042458</v>
      </c>
      <c r="F37" s="225"/>
      <c r="G37" s="224">
        <f>F31+G16</f>
        <v>243483.87999999998</v>
      </c>
      <c r="H37" s="226"/>
      <c r="I37" s="212"/>
      <c r="J37" s="212"/>
      <c r="K37" s="9"/>
      <c r="L37" s="9"/>
      <c r="M37" s="318"/>
    </row>
    <row r="38" spans="2:14" x14ac:dyDescent="0.25">
      <c r="B38" s="94" t="s">
        <v>16</v>
      </c>
      <c r="C38" s="220">
        <f>E38+G38</f>
        <v>759060.57000000007</v>
      </c>
      <c r="D38" s="221"/>
      <c r="E38" s="220">
        <f>E17+74978.7</f>
        <v>517809.76</v>
      </c>
      <c r="F38" s="221"/>
      <c r="G38" s="220">
        <f>G17+39158.91</f>
        <v>241250.81000000003</v>
      </c>
      <c r="H38" s="251"/>
      <c r="I38" s="212"/>
      <c r="J38" s="212"/>
      <c r="K38" s="12"/>
      <c r="L38" s="9"/>
      <c r="M38" s="318"/>
    </row>
    <row r="39" spans="2:14" ht="16.5" thickBot="1" x14ac:dyDescent="0.3">
      <c r="B39" s="95" t="s">
        <v>189</v>
      </c>
      <c r="C39" s="227">
        <f>E39+G39</f>
        <v>727627.25355202879</v>
      </c>
      <c r="D39" s="228"/>
      <c r="E39" s="246">
        <f>G24+G25+G26+G27+G28+G29+G30+G32+E18</f>
        <v>525782.25355202879</v>
      </c>
      <c r="F39" s="247"/>
      <c r="G39" s="246">
        <f>G31+G18</f>
        <v>201845</v>
      </c>
      <c r="H39" s="252"/>
      <c r="I39" s="212"/>
      <c r="J39" s="212"/>
      <c r="K39" s="44"/>
      <c r="L39" s="44"/>
    </row>
    <row r="40" spans="2:14" ht="36.75" thickBot="1" x14ac:dyDescent="0.3">
      <c r="B40" s="97" t="s">
        <v>298</v>
      </c>
      <c r="C40" s="216">
        <f>E40+G40</f>
        <v>31433.316447971243</v>
      </c>
      <c r="D40" s="217"/>
      <c r="E40" s="248">
        <f>E38-E39</f>
        <v>-7972.4935520287836</v>
      </c>
      <c r="F40" s="254"/>
      <c r="G40" s="248">
        <f>G38-G39</f>
        <v>39405.810000000027</v>
      </c>
      <c r="H40" s="249"/>
      <c r="I40" s="212"/>
      <c r="J40" s="212"/>
      <c r="K40" s="44"/>
      <c r="L40" s="44"/>
    </row>
    <row r="41" spans="2:14" ht="28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205"/>
      <c r="I41" s="205"/>
      <c r="J41" s="205"/>
      <c r="K41" s="4"/>
      <c r="L41" s="4"/>
      <c r="M41" s="316"/>
      <c r="N41" s="316"/>
    </row>
    <row r="42" spans="2:14" ht="11.25" customHeight="1" x14ac:dyDescent="0.25">
      <c r="B42" s="205"/>
      <c r="C42" s="205"/>
      <c r="D42" s="205"/>
      <c r="E42" s="209"/>
      <c r="F42" s="231"/>
      <c r="G42" s="231"/>
      <c r="H42" s="210"/>
      <c r="I42" s="210"/>
      <c r="J42" s="210"/>
      <c r="K42" s="4"/>
      <c r="L42" s="4"/>
      <c r="M42" s="316"/>
      <c r="N42" s="316"/>
    </row>
    <row r="43" spans="2:14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205"/>
      <c r="I43" s="205"/>
      <c r="J43" s="205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0"/>
      <c r="G44" s="230"/>
      <c r="H44" s="205"/>
      <c r="I44" s="205"/>
      <c r="J44" s="205"/>
    </row>
    <row r="45" spans="2:14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205"/>
      <c r="I45" s="205"/>
      <c r="J45" s="205"/>
    </row>
    <row r="46" spans="2:14" ht="8.25" customHeight="1" x14ac:dyDescent="0.25">
      <c r="B46" s="45"/>
      <c r="C46" s="45"/>
      <c r="D46" s="45"/>
      <c r="E46" s="209"/>
      <c r="F46" s="46"/>
      <c r="G46" s="47"/>
      <c r="H46" s="48"/>
      <c r="I46" s="48"/>
      <c r="J46" s="48"/>
    </row>
    <row r="47" spans="2:14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</row>
    <row r="48" spans="2:14" ht="7.5" customHeight="1" x14ac:dyDescent="0.25">
      <c r="C48" s="86"/>
      <c r="E48" s="209"/>
      <c r="F48" s="82"/>
      <c r="H48" s="82"/>
    </row>
  </sheetData>
  <mergeCells count="54">
    <mergeCell ref="C18:D18"/>
    <mergeCell ref="C19:D19"/>
    <mergeCell ref="C36:D36"/>
    <mergeCell ref="C37:D37"/>
    <mergeCell ref="C38:D38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B14:H14"/>
    <mergeCell ref="E15:F15"/>
    <mergeCell ref="G15:H15"/>
    <mergeCell ref="D5:E5"/>
    <mergeCell ref="C15:D15"/>
    <mergeCell ref="C16:D16"/>
    <mergeCell ref="C17:D17"/>
    <mergeCell ref="E16:F16"/>
    <mergeCell ref="G16:H16"/>
    <mergeCell ref="E17:F17"/>
    <mergeCell ref="G17:H17"/>
    <mergeCell ref="F42:G42"/>
    <mergeCell ref="B35:H35"/>
    <mergeCell ref="E36:F36"/>
    <mergeCell ref="G36:H36"/>
    <mergeCell ref="F41:G41"/>
    <mergeCell ref="E37:F37"/>
    <mergeCell ref="G37:H37"/>
    <mergeCell ref="E38:F38"/>
    <mergeCell ref="G38:H38"/>
    <mergeCell ref="E39:F39"/>
    <mergeCell ref="G39:H39"/>
    <mergeCell ref="E40:F40"/>
    <mergeCell ref="N21:N22"/>
    <mergeCell ref="E18:F18"/>
    <mergeCell ref="G18:H18"/>
    <mergeCell ref="E19:F19"/>
    <mergeCell ref="G19:H19"/>
    <mergeCell ref="C41:E41"/>
    <mergeCell ref="C43:E43"/>
    <mergeCell ref="C45:E45"/>
    <mergeCell ref="C47:E47"/>
    <mergeCell ref="M21:M22"/>
    <mergeCell ref="F47:G47"/>
    <mergeCell ref="F43:G43"/>
    <mergeCell ref="F44:G44"/>
    <mergeCell ref="F45:G45"/>
    <mergeCell ref="G40:H40"/>
    <mergeCell ref="C39:D39"/>
    <mergeCell ref="C40:D40"/>
  </mergeCells>
  <printOptions horizontalCentered="1"/>
  <pageMargins left="0.19685039370078741" right="0.19685039370078741" top="0.15748031496062992" bottom="0.27559055118110237" header="0.31496062992125984" footer="0.23622047244094491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19" zoomScale="110" zoomScaleNormal="110" workbookViewId="0">
      <selection activeCell="M19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5.7109375" style="5" customWidth="1"/>
    <col min="3" max="3" width="23.7109375" style="82" customWidth="1"/>
    <col min="4" max="4" width="8.85546875" style="82" customWidth="1"/>
    <col min="5" max="5" width="10.140625" style="82" customWidth="1"/>
    <col min="6" max="6" width="10" style="5" customWidth="1"/>
    <col min="7" max="7" width="10.28515625" style="5" customWidth="1"/>
    <col min="8" max="8" width="10.42578125" style="5" customWidth="1"/>
    <col min="9" max="9" width="10.7109375" style="5" bestFit="1" customWidth="1"/>
    <col min="10" max="11" width="9.140625" style="5"/>
    <col min="12" max="12" width="13.42578125" style="5" customWidth="1"/>
    <col min="13" max="13" width="16.140625" style="310" bestFit="1" customWidth="1"/>
    <col min="14" max="14" width="13.285156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1.75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12" customHeight="1" x14ac:dyDescent="0.25"/>
    <row r="5" spans="1:9" x14ac:dyDescent="0.25">
      <c r="B5" s="10" t="s">
        <v>0</v>
      </c>
      <c r="C5" s="48"/>
      <c r="D5" s="234" t="s">
        <v>81</v>
      </c>
      <c r="E5" s="234"/>
    </row>
    <row r="6" spans="1:9" x14ac:dyDescent="0.25">
      <c r="B6" s="10" t="s">
        <v>1</v>
      </c>
      <c r="C6" s="48"/>
      <c r="D6" s="207">
        <v>1955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8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82</v>
      </c>
      <c r="E9" s="207"/>
    </row>
    <row r="10" spans="1:9" collapsed="1" x14ac:dyDescent="0.25">
      <c r="B10" s="10" t="s">
        <v>5</v>
      </c>
      <c r="C10" s="48"/>
      <c r="D10" s="207" t="s">
        <v>251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59</v>
      </c>
      <c r="E12" s="208"/>
      <c r="I12" s="17"/>
    </row>
    <row r="13" spans="1:9" ht="11.2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5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454045.88</v>
      </c>
      <c r="D16" s="253"/>
      <c r="E16" s="224">
        <v>287943.64999999997</v>
      </c>
      <c r="F16" s="225"/>
      <c r="G16" s="224">
        <v>166102.23000000001</v>
      </c>
      <c r="H16" s="226"/>
      <c r="I16" s="17"/>
    </row>
    <row r="17" spans="2:15" x14ac:dyDescent="0.25">
      <c r="B17" s="94" t="s">
        <v>16</v>
      </c>
      <c r="C17" s="220">
        <v>413010.98</v>
      </c>
      <c r="D17" s="221"/>
      <c r="E17" s="220">
        <v>285695.7</v>
      </c>
      <c r="F17" s="221"/>
      <c r="G17" s="220">
        <v>127315.28</v>
      </c>
      <c r="H17" s="251"/>
      <c r="I17" s="17"/>
    </row>
    <row r="18" spans="2:15" ht="16.5" thickBot="1" x14ac:dyDescent="0.3">
      <c r="B18" s="95" t="s">
        <v>189</v>
      </c>
      <c r="C18" s="220">
        <v>382565.89</v>
      </c>
      <c r="D18" s="221"/>
      <c r="E18" s="246">
        <v>289972.89</v>
      </c>
      <c r="F18" s="247"/>
      <c r="G18" s="246">
        <v>92593</v>
      </c>
      <c r="H18" s="252"/>
      <c r="I18" s="17"/>
    </row>
    <row r="19" spans="2:15" ht="33" customHeight="1" thickBot="1" x14ac:dyDescent="0.3">
      <c r="B19" s="97" t="s">
        <v>297</v>
      </c>
      <c r="C19" s="216">
        <f>E19+G19</f>
        <v>30445.089999999997</v>
      </c>
      <c r="D19" s="217"/>
      <c r="E19" s="248">
        <f>E17-E18</f>
        <v>-4277.1900000000023</v>
      </c>
      <c r="F19" s="254"/>
      <c r="G19" s="248">
        <f>G17-G18</f>
        <v>34722.28</v>
      </c>
      <c r="H19" s="249"/>
      <c r="I19" s="17"/>
    </row>
    <row r="20" spans="2:15" x14ac:dyDescent="0.25">
      <c r="B20" s="14"/>
      <c r="C20" s="64"/>
      <c r="D20" s="91"/>
      <c r="E20" s="208"/>
      <c r="F20" s="82"/>
      <c r="H20" s="82"/>
      <c r="I20" s="17"/>
    </row>
    <row r="21" spans="2:15" ht="20.2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44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48387.99</v>
      </c>
      <c r="N23" s="314">
        <f>M23*1.01</f>
        <v>48871.869899999998</v>
      </c>
    </row>
    <row r="24" spans="2:15" ht="45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4714.2710845588235</v>
      </c>
      <c r="G24" s="24">
        <f>$N$23/$N$24*E24</f>
        <v>4761.4137954044118</v>
      </c>
      <c r="H24" s="25">
        <f>F24-G24</f>
        <v>-47.142710845588226</v>
      </c>
      <c r="I24" s="60"/>
      <c r="J24" s="27"/>
      <c r="K24" s="27"/>
      <c r="L24" s="28"/>
      <c r="M24" s="315">
        <f>E33-E31</f>
        <v>10.879999999999999</v>
      </c>
      <c r="N24" s="315">
        <f>E33-E31</f>
        <v>10.879999999999999</v>
      </c>
      <c r="O24" s="27"/>
    </row>
    <row r="25" spans="2:15" ht="51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5292.4364062499999</v>
      </c>
      <c r="G25" s="6">
        <f>$N$23/$N$24*E25</f>
        <v>5345.3607703124999</v>
      </c>
      <c r="H25" s="25">
        <f t="shared" ref="H25:H30" si="0">F25-G25</f>
        <v>-52.92436406249999</v>
      </c>
      <c r="I25" s="61"/>
      <c r="J25" s="4"/>
      <c r="K25" s="4"/>
      <c r="L25" s="4"/>
      <c r="M25" s="316"/>
      <c r="N25" s="316"/>
      <c r="O25" s="4"/>
    </row>
    <row r="26" spans="2:15" ht="4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1423.1761764705882</v>
      </c>
      <c r="G26" s="6">
        <f t="shared" ref="G26:G29" si="2">$N$23/$N$24*E26</f>
        <v>1437.4079382352941</v>
      </c>
      <c r="H26" s="25">
        <f t="shared" si="0"/>
        <v>-14.23176176470588</v>
      </c>
      <c r="I26" s="44"/>
      <c r="L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370.61879595588238</v>
      </c>
      <c r="G27" s="6">
        <f>($N$23/12*2)/$N$24*E27</f>
        <v>374.32498391544118</v>
      </c>
      <c r="H27" s="25">
        <f t="shared" si="0"/>
        <v>-3.7061879595588039</v>
      </c>
      <c r="I27" s="44"/>
      <c r="L27" s="17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5247.962150735294</v>
      </c>
      <c r="G28" s="6">
        <f t="shared" si="2"/>
        <v>5300.4417722426469</v>
      </c>
      <c r="H28" s="25">
        <f t="shared" si="0"/>
        <v>-52.479621507352931</v>
      </c>
      <c r="I28" s="44"/>
    </row>
    <row r="29" spans="2:15" ht="212.2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24950.057343750002</v>
      </c>
      <c r="G29" s="6">
        <f t="shared" si="2"/>
        <v>25199.557917187503</v>
      </c>
      <c r="H29" s="25">
        <f t="shared" si="0"/>
        <v>-249.50057343750086</v>
      </c>
      <c r="I29" s="61"/>
      <c r="J29" s="4"/>
      <c r="K29" s="4"/>
      <c r="L29" s="3"/>
      <c r="M29" s="316"/>
      <c r="N29" s="316"/>
    </row>
    <row r="30" spans="2:15" ht="102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845.01085477941183</v>
      </c>
      <c r="G30" s="6">
        <f t="shared" ref="G30" si="3">$N$23/$N$24*E30</f>
        <v>853.46096332720595</v>
      </c>
      <c r="H30" s="25">
        <f t="shared" si="0"/>
        <v>-8.450108547794116</v>
      </c>
      <c r="I30" s="44"/>
    </row>
    <row r="31" spans="2:15" ht="45" x14ac:dyDescent="0.25">
      <c r="B31" s="30" t="s">
        <v>206</v>
      </c>
      <c r="C31" s="8" t="s">
        <v>223</v>
      </c>
      <c r="D31" s="22" t="s">
        <v>201</v>
      </c>
      <c r="E31" s="99">
        <v>5.16</v>
      </c>
      <c r="F31" s="23">
        <v>24770.05</v>
      </c>
      <c r="G31" s="6">
        <v>21148</v>
      </c>
      <c r="H31" s="25">
        <f>F31-G31</f>
        <v>3622.0499999999993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0.53+0.3</f>
        <v>0.83000000000000007</v>
      </c>
      <c r="F32" s="23">
        <f t="shared" si="1"/>
        <v>3691.3632077205884</v>
      </c>
      <c r="G32" s="6">
        <f t="shared" ref="G32" si="4">$N$23/$N$24*E32</f>
        <v>3728.2768397977943</v>
      </c>
      <c r="H32" s="33">
        <f>F32-G32</f>
        <v>-36.913632077205875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16.04</v>
      </c>
      <c r="F33" s="56">
        <f>SUM(F24:F32)</f>
        <v>71304.946020220581</v>
      </c>
      <c r="G33" s="57">
        <f>SUM(G24:G32)</f>
        <v>68148.244980422794</v>
      </c>
      <c r="H33" s="38">
        <f>SUM(H24:H32)</f>
        <v>3156.7010397977924</v>
      </c>
      <c r="I33" s="44"/>
    </row>
    <row r="34" spans="2:15" x14ac:dyDescent="0.25">
      <c r="B34" s="17"/>
      <c r="C34" s="17"/>
      <c r="D34" s="17"/>
      <c r="E34" s="86"/>
      <c r="F34" s="82"/>
      <c r="G34" s="82"/>
      <c r="H34" s="82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48.7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525350.82602022053</v>
      </c>
      <c r="D37" s="223"/>
      <c r="E37" s="224">
        <f>F24+F25+F26+F27+F28+F29+F30+F32+E16</f>
        <v>334478.54602022056</v>
      </c>
      <c r="F37" s="225"/>
      <c r="G37" s="224">
        <f>F31+G16</f>
        <v>190872.28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487488.01</v>
      </c>
      <c r="D38" s="221"/>
      <c r="E38" s="220">
        <f>E17+49260.4</f>
        <v>334956.10000000003</v>
      </c>
      <c r="F38" s="221"/>
      <c r="G38" s="220">
        <f>G17+25216.63</f>
        <v>152531.91</v>
      </c>
      <c r="H38" s="251"/>
      <c r="I38" s="76"/>
      <c r="J38" s="77"/>
      <c r="K38" s="12"/>
      <c r="L38" s="9"/>
      <c r="M38" s="318"/>
    </row>
    <row r="39" spans="2:15" ht="16.5" thickBot="1" x14ac:dyDescent="0.3">
      <c r="B39" s="95" t="s">
        <v>189</v>
      </c>
      <c r="C39" s="227">
        <f>E39+G39</f>
        <v>450714.13498042279</v>
      </c>
      <c r="D39" s="228"/>
      <c r="E39" s="246">
        <f>G24+G25+G26+G27+G28+G29+G30+G32+E18</f>
        <v>336973.13498042279</v>
      </c>
      <c r="F39" s="247"/>
      <c r="G39" s="246">
        <f>G31+G18</f>
        <v>113741</v>
      </c>
      <c r="H39" s="252"/>
      <c r="I39" s="76"/>
      <c r="J39" s="77"/>
      <c r="K39" s="44"/>
      <c r="L39" s="44"/>
    </row>
    <row r="40" spans="2:15" ht="36.75" thickBot="1" x14ac:dyDescent="0.3">
      <c r="B40" s="97" t="s">
        <v>298</v>
      </c>
      <c r="C40" s="216">
        <f>E40+G40</f>
        <v>36773.875019577245</v>
      </c>
      <c r="D40" s="217"/>
      <c r="E40" s="248">
        <f>E38-E39</f>
        <v>-2017.034980422759</v>
      </c>
      <c r="F40" s="254"/>
      <c r="G40" s="248">
        <f>G38-G39</f>
        <v>38790.910000000003</v>
      </c>
      <c r="H40" s="249"/>
      <c r="I40" s="76"/>
      <c r="J40" s="77"/>
      <c r="K40" s="44"/>
      <c r="L40" s="44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4"/>
      <c r="M41" s="316"/>
      <c r="N41" s="316"/>
      <c r="O41" s="4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4"/>
      <c r="M42" s="316"/>
      <c r="N42" s="316"/>
      <c r="O42" s="4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0.5" customHeight="1" x14ac:dyDescent="0.25">
      <c r="B48" s="49"/>
      <c r="C48" s="49"/>
      <c r="D48" s="49"/>
      <c r="E48" s="209"/>
      <c r="F48" s="229"/>
      <c r="G48" s="229"/>
      <c r="H48" s="82"/>
      <c r="I48" s="82"/>
    </row>
  </sheetData>
  <mergeCells count="55">
    <mergeCell ref="B1:H1"/>
    <mergeCell ref="F47:G47"/>
    <mergeCell ref="F48:G48"/>
    <mergeCell ref="B2:H3"/>
    <mergeCell ref="B35:H35"/>
    <mergeCell ref="F44:G44"/>
    <mergeCell ref="F45:G45"/>
    <mergeCell ref="G40:H40"/>
    <mergeCell ref="F41:G41"/>
    <mergeCell ref="F42:G42"/>
    <mergeCell ref="E38:F38"/>
    <mergeCell ref="G38:H38"/>
    <mergeCell ref="E39:F39"/>
    <mergeCell ref="G39:H39"/>
    <mergeCell ref="E36:F36"/>
    <mergeCell ref="G36:H36"/>
    <mergeCell ref="G37:H37"/>
    <mergeCell ref="D5:E5"/>
    <mergeCell ref="E40:F40"/>
    <mergeCell ref="F43:G43"/>
    <mergeCell ref="B21:H21"/>
    <mergeCell ref="B22:B23"/>
    <mergeCell ref="C22:C23"/>
    <mergeCell ref="D22:D23"/>
    <mergeCell ref="E22:E23"/>
    <mergeCell ref="F22:G22"/>
    <mergeCell ref="H22:H23"/>
    <mergeCell ref="B14:H14"/>
    <mergeCell ref="E15:F15"/>
    <mergeCell ref="G15:H15"/>
    <mergeCell ref="E16:F16"/>
    <mergeCell ref="C40:D40"/>
    <mergeCell ref="G16:H16"/>
    <mergeCell ref="C15:D15"/>
    <mergeCell ref="C16:D16"/>
    <mergeCell ref="E17:F17"/>
    <mergeCell ref="G17:H17"/>
    <mergeCell ref="G18:H18"/>
    <mergeCell ref="C17:D17"/>
    <mergeCell ref="C18:D18"/>
    <mergeCell ref="N21:N22"/>
    <mergeCell ref="E19:F19"/>
    <mergeCell ref="G19:H19"/>
    <mergeCell ref="M21:M22"/>
    <mergeCell ref="C19:D19"/>
    <mergeCell ref="C41:E41"/>
    <mergeCell ref="C43:E43"/>
    <mergeCell ref="C45:E45"/>
    <mergeCell ref="C47:E47"/>
    <mergeCell ref="E18:F18"/>
    <mergeCell ref="E37:F37"/>
    <mergeCell ref="C36:D36"/>
    <mergeCell ref="C37:D37"/>
    <mergeCell ref="C38:D38"/>
    <mergeCell ref="C39:D39"/>
  </mergeCells>
  <printOptions horizontalCentered="1"/>
  <pageMargins left="0.39" right="0.19685039370078741" top="0.47244094488188981" bottom="0.23622047244094491" header="0.47244094488188981" footer="0.24"/>
  <pageSetup paperSize="9" scale="4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13" zoomScale="110" zoomScaleNormal="110" workbookViewId="0">
      <selection activeCell="L13" sqref="L1:O1048576"/>
    </sheetView>
  </sheetViews>
  <sheetFormatPr defaultColWidth="9.140625" defaultRowHeight="15.75" outlineLevelRow="1" x14ac:dyDescent="0.25"/>
  <cols>
    <col min="1" max="1" width="2.85546875" style="5" customWidth="1"/>
    <col min="2" max="2" width="55.85546875" style="5" customWidth="1"/>
    <col min="3" max="3" width="21.42578125" style="82" customWidth="1"/>
    <col min="4" max="4" width="8.5703125" style="82" customWidth="1"/>
    <col min="5" max="5" width="9.85546875" style="82" customWidth="1"/>
    <col min="6" max="6" width="10.140625" style="82" customWidth="1"/>
    <col min="7" max="7" width="12.7109375" style="5" customWidth="1"/>
    <col min="8" max="8" width="10.28515625" style="82" customWidth="1"/>
    <col min="9" max="9" width="10.7109375" style="5" bestFit="1" customWidth="1"/>
    <col min="10" max="10" width="11.85546875" style="5" customWidth="1"/>
    <col min="11" max="11" width="13.85546875" style="5" customWidth="1"/>
    <col min="12" max="12" width="9.140625" style="310"/>
    <col min="13" max="13" width="13.85546875" style="310" customWidth="1"/>
    <col min="14" max="14" width="14.28515625" style="310" customWidth="1"/>
    <col min="15" max="15" width="9.140625" style="310"/>
    <col min="16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35">
      <c r="A3" s="59"/>
      <c r="B3" s="265"/>
      <c r="C3" s="265"/>
      <c r="D3" s="265"/>
      <c r="E3" s="265"/>
      <c r="F3" s="265"/>
      <c r="G3" s="265"/>
      <c r="H3" s="265"/>
    </row>
    <row r="5" spans="1:9" x14ac:dyDescent="0.25">
      <c r="B5" s="10" t="s">
        <v>0</v>
      </c>
      <c r="C5" s="48"/>
      <c r="D5" s="234" t="s">
        <v>83</v>
      </c>
      <c r="E5" s="234"/>
    </row>
    <row r="6" spans="1:9" x14ac:dyDescent="0.25">
      <c r="B6" s="10" t="s">
        <v>1</v>
      </c>
      <c r="C6" s="48"/>
      <c r="D6" s="207">
        <v>1956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11</v>
      </c>
      <c r="E8" s="207"/>
    </row>
    <row r="9" spans="1:9" ht="26.25" hidden="1" outlineLevel="1" x14ac:dyDescent="0.25">
      <c r="B9" s="122" t="s">
        <v>4</v>
      </c>
      <c r="C9" s="133"/>
      <c r="D9" s="207" t="s">
        <v>84</v>
      </c>
      <c r="E9" s="207"/>
    </row>
    <row r="10" spans="1:9" collapsed="1" x14ac:dyDescent="0.25">
      <c r="B10" s="10" t="s">
        <v>5</v>
      </c>
      <c r="C10" s="48"/>
      <c r="D10" s="207" t="s">
        <v>252</v>
      </c>
      <c r="E10" s="207"/>
      <c r="I10" s="17"/>
    </row>
    <row r="11" spans="1:9" hidden="1" x14ac:dyDescent="0.25">
      <c r="B11" s="10" t="s">
        <v>6</v>
      </c>
      <c r="C11" s="48"/>
      <c r="D11" s="207" t="s">
        <v>85</v>
      </c>
      <c r="E11" s="207"/>
    </row>
    <row r="12" spans="1:9" ht="31.5" hidden="1" customHeight="1" outlineLevel="1" x14ac:dyDescent="0.25">
      <c r="B12" s="122" t="s">
        <v>7</v>
      </c>
      <c r="C12" s="133"/>
      <c r="D12" s="134" t="s">
        <v>86</v>
      </c>
      <c r="E12" s="207"/>
      <c r="I12" s="17"/>
    </row>
    <row r="13" spans="1:9" ht="12" customHeight="1" collapsed="1" x14ac:dyDescent="0.25">
      <c r="B13" s="122"/>
      <c r="C13" s="133"/>
      <c r="D13" s="134"/>
      <c r="E13" s="207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2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715960.42999999993</v>
      </c>
      <c r="D16" s="253"/>
      <c r="E16" s="224">
        <v>510140.31</v>
      </c>
      <c r="F16" s="225"/>
      <c r="G16" s="224">
        <v>205820.12</v>
      </c>
      <c r="H16" s="226"/>
      <c r="I16" s="17"/>
    </row>
    <row r="17" spans="2:15" x14ac:dyDescent="0.25">
      <c r="B17" s="94" t="s">
        <v>16</v>
      </c>
      <c r="C17" s="220">
        <v>676741.77</v>
      </c>
      <c r="D17" s="221"/>
      <c r="E17" s="220">
        <v>482163.78</v>
      </c>
      <c r="F17" s="221"/>
      <c r="G17" s="220">
        <v>194577.99</v>
      </c>
      <c r="H17" s="251"/>
      <c r="I17" s="17"/>
    </row>
    <row r="18" spans="2:15" ht="16.5" thickBot="1" x14ac:dyDescent="0.3">
      <c r="B18" s="95" t="s">
        <v>189</v>
      </c>
      <c r="C18" s="220">
        <v>688761.93910000008</v>
      </c>
      <c r="D18" s="221"/>
      <c r="E18" s="246">
        <v>494677.93910000008</v>
      </c>
      <c r="F18" s="247"/>
      <c r="G18" s="246">
        <v>194084</v>
      </c>
      <c r="H18" s="252"/>
      <c r="I18" s="17"/>
    </row>
    <row r="19" spans="2:15" ht="28.5" customHeight="1" thickBot="1" x14ac:dyDescent="0.3">
      <c r="B19" s="97" t="s">
        <v>297</v>
      </c>
      <c r="C19" s="216">
        <f>E19+G19</f>
        <v>-12020.169100000057</v>
      </c>
      <c r="D19" s="217"/>
      <c r="E19" s="248">
        <f>E17-E18</f>
        <v>-12514.159100000048</v>
      </c>
      <c r="F19" s="254"/>
      <c r="G19" s="248">
        <f>G17-G18</f>
        <v>493.98999999999069</v>
      </c>
      <c r="H19" s="249"/>
      <c r="I19" s="17"/>
    </row>
    <row r="20" spans="2:15" x14ac:dyDescent="0.25">
      <c r="B20" s="14"/>
      <c r="C20" s="64"/>
      <c r="D20" s="91"/>
      <c r="E20" s="208"/>
      <c r="I20" s="17"/>
    </row>
    <row r="21" spans="2:15" ht="18.7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321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321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84633.47</v>
      </c>
      <c r="N23" s="314">
        <f>M23*1.01</f>
        <v>85479.804700000008</v>
      </c>
    </row>
    <row r="24" spans="2:15" ht="55.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7720.4370223752176</v>
      </c>
      <c r="G24" s="24">
        <f>$N$23/$N$24*E24</f>
        <v>7797.64139259897</v>
      </c>
      <c r="H24" s="25">
        <f>F24-G24</f>
        <v>-77.204370223752449</v>
      </c>
      <c r="I24" s="60"/>
      <c r="J24" s="27"/>
      <c r="K24" s="27"/>
      <c r="L24" s="322"/>
      <c r="M24" s="315">
        <f>E33-E31</f>
        <v>11.619999999999997</v>
      </c>
      <c r="N24" s="315">
        <f>E33-E31</f>
        <v>11.619999999999997</v>
      </c>
      <c r="O24" s="326"/>
    </row>
    <row r="25" spans="2:15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8667.2830722891576</v>
      </c>
      <c r="G25" s="6">
        <f>$N$23/$N$24*E25</f>
        <v>8753.9559030120508</v>
      </c>
      <c r="H25" s="25">
        <f t="shared" ref="H25:H30" si="0">F25-G25</f>
        <v>-86.672830722893195</v>
      </c>
      <c r="I25" s="61"/>
      <c r="J25" s="4"/>
      <c r="K25" s="4"/>
      <c r="L25" s="323" t="s">
        <v>289</v>
      </c>
      <c r="M25" s="318"/>
      <c r="N25" s="318"/>
      <c r="O25" s="316"/>
    </row>
    <row r="26" spans="2:15" ht="56.2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2330.6979690189332</v>
      </c>
      <c r="G26" s="6">
        <f t="shared" ref="G26:G29" si="2">$N$23/$N$24*E26</f>
        <v>2354.0049487091228</v>
      </c>
      <c r="H26" s="25">
        <f t="shared" si="0"/>
        <v>-23.306979690189564</v>
      </c>
      <c r="I26" s="44"/>
      <c r="L26" s="323" t="s">
        <v>290</v>
      </c>
      <c r="M26" s="323"/>
      <c r="N26" s="323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606.9525960986806</v>
      </c>
      <c r="G27" s="6">
        <f>($N$23/12*2)/$N$24*E27</f>
        <v>613.02212205966748</v>
      </c>
      <c r="H27" s="25">
        <f t="shared" si="0"/>
        <v>-6.0695259609868799</v>
      </c>
      <c r="I27" s="44"/>
      <c r="L27" s="318" t="s">
        <v>291</v>
      </c>
      <c r="M27" s="323"/>
      <c r="N27" s="323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8594.4487607573155</v>
      </c>
      <c r="G28" s="6">
        <f t="shared" si="2"/>
        <v>8680.3932483648896</v>
      </c>
      <c r="H28" s="25">
        <f t="shared" si="0"/>
        <v>-85.944487607574047</v>
      </c>
      <c r="I28" s="44"/>
    </row>
    <row r="29" spans="2:15" ht="216.7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40860.04876936318</v>
      </c>
      <c r="G29" s="6">
        <f t="shared" si="2"/>
        <v>41268.649257056815</v>
      </c>
      <c r="H29" s="25">
        <f t="shared" si="0"/>
        <v>-408.60048769363493</v>
      </c>
      <c r="I29" s="61"/>
      <c r="J29" s="4"/>
      <c r="K29" s="4"/>
      <c r="L29" s="324"/>
      <c r="M29" s="316"/>
      <c r="N29" s="316"/>
    </row>
    <row r="30" spans="2:15" ht="115.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1383.8519191049918</v>
      </c>
      <c r="G30" s="6">
        <f t="shared" ref="G30" si="3">$N$23/$N$24*E30</f>
        <v>1397.6904382960417</v>
      </c>
      <c r="H30" s="25">
        <f t="shared" si="0"/>
        <v>-13.838519191049954</v>
      </c>
      <c r="I30" s="44"/>
    </row>
    <row r="31" spans="2:15" ht="56.25" x14ac:dyDescent="0.25">
      <c r="B31" s="30" t="s">
        <v>206</v>
      </c>
      <c r="C31" s="8" t="s">
        <v>223</v>
      </c>
      <c r="D31" s="22" t="s">
        <v>201</v>
      </c>
      <c r="E31" s="99">
        <v>4.93</v>
      </c>
      <c r="F31" s="23">
        <v>38597.870000000003</v>
      </c>
      <c r="G31" s="6">
        <v>15962</v>
      </c>
      <c r="H31" s="25">
        <f>F31-G31</f>
        <v>22635.870000000003</v>
      </c>
      <c r="I31" s="44"/>
      <c r="L31" s="321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1.26+0.31</f>
        <v>1.57</v>
      </c>
      <c r="F32" s="23">
        <f t="shared" si="1"/>
        <v>11434.986910499143</v>
      </c>
      <c r="G32" s="6">
        <f t="shared" ref="G32" si="4">$N$23/$N$24*E32</f>
        <v>11549.336779604135</v>
      </c>
      <c r="H32" s="33">
        <f>F32-G32</f>
        <v>-114.34986910499174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16.549999999999997</v>
      </c>
      <c r="F33" s="56">
        <f>SUM(F24:F32)</f>
        <v>120196.5770195066</v>
      </c>
      <c r="G33" s="57">
        <f>SUM(G24:G32)</f>
        <v>98376.69408970169</v>
      </c>
      <c r="H33" s="38">
        <f>SUM(H24:H32)</f>
        <v>21819.882929804931</v>
      </c>
      <c r="I33" s="44"/>
    </row>
    <row r="34" spans="2:15" x14ac:dyDescent="0.25">
      <c r="B34" s="17"/>
      <c r="C34" s="17"/>
      <c r="D34" s="17"/>
      <c r="E34" s="86"/>
      <c r="G34" s="86"/>
      <c r="O34" s="317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39.7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319"/>
      <c r="M36" s="317"/>
      <c r="N36" s="317"/>
    </row>
    <row r="37" spans="2:15" x14ac:dyDescent="0.25">
      <c r="B37" s="93" t="s">
        <v>15</v>
      </c>
      <c r="C37" s="222">
        <f>E37+G37</f>
        <v>836157.00701950653</v>
      </c>
      <c r="D37" s="223"/>
      <c r="E37" s="224">
        <f>F24+F25+F26+F27+F28+F29+F30+F32+E16</f>
        <v>591739.01701950654</v>
      </c>
      <c r="F37" s="225"/>
      <c r="G37" s="224">
        <f>F31+G16</f>
        <v>244417.99</v>
      </c>
      <c r="H37" s="226"/>
      <c r="I37" s="76"/>
      <c r="J37" s="77"/>
      <c r="K37" s="9"/>
      <c r="L37" s="320"/>
      <c r="M37" s="318"/>
    </row>
    <row r="38" spans="2:15" x14ac:dyDescent="0.25">
      <c r="B38" s="94" t="s">
        <v>16</v>
      </c>
      <c r="C38" s="220">
        <f>E38+G38</f>
        <v>818818.47</v>
      </c>
      <c r="D38" s="221"/>
      <c r="E38" s="220">
        <f>E17+97576.18</f>
        <v>579739.96</v>
      </c>
      <c r="F38" s="221"/>
      <c r="G38" s="220">
        <f>G17+44500.52</f>
        <v>239078.50999999998</v>
      </c>
      <c r="H38" s="251"/>
      <c r="I38" s="76"/>
      <c r="J38" s="77"/>
      <c r="K38" s="12"/>
      <c r="L38" s="320"/>
      <c r="M38" s="318"/>
    </row>
    <row r="39" spans="2:15" ht="16.5" thickBot="1" x14ac:dyDescent="0.3">
      <c r="B39" s="95" t="s">
        <v>189</v>
      </c>
      <c r="C39" s="227">
        <f>E39+G39</f>
        <v>787138.63318970171</v>
      </c>
      <c r="D39" s="228"/>
      <c r="E39" s="246">
        <f>G24+G25+G26+G27+G28+G29+G30+G32+E18</f>
        <v>577092.63318970171</v>
      </c>
      <c r="F39" s="247"/>
      <c r="G39" s="246">
        <f>G31+G18</f>
        <v>210046</v>
      </c>
      <c r="H39" s="252"/>
      <c r="I39" s="76"/>
      <c r="J39" s="77"/>
      <c r="K39" s="44"/>
      <c r="L39" s="325"/>
    </row>
    <row r="40" spans="2:15" ht="36.75" thickBot="1" x14ac:dyDescent="0.3">
      <c r="B40" s="97" t="s">
        <v>298</v>
      </c>
      <c r="C40" s="216">
        <f>E40+G40</f>
        <v>31679.836810298235</v>
      </c>
      <c r="D40" s="217"/>
      <c r="E40" s="248">
        <f>E38-E39</f>
        <v>2647.3268102982547</v>
      </c>
      <c r="F40" s="254"/>
      <c r="G40" s="248">
        <f>G38-G39</f>
        <v>29032.50999999998</v>
      </c>
      <c r="H40" s="249"/>
      <c r="I40" s="76"/>
      <c r="J40" s="77"/>
      <c r="K40" s="44"/>
      <c r="L40" s="325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316"/>
      <c r="M41" s="316"/>
      <c r="N41" s="316"/>
      <c r="O41" s="316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316"/>
      <c r="M42" s="316"/>
      <c r="N42" s="316"/>
      <c r="O42" s="316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316"/>
      <c r="M43" s="316"/>
      <c r="N43" s="316"/>
      <c r="O43" s="316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9.75" customHeight="1" x14ac:dyDescent="0.25">
      <c r="B48" s="49"/>
      <c r="C48" s="49"/>
      <c r="D48" s="49"/>
      <c r="E48" s="209"/>
      <c r="F48" s="229"/>
      <c r="G48" s="229"/>
    </row>
  </sheetData>
  <mergeCells count="55">
    <mergeCell ref="F48:G48"/>
    <mergeCell ref="C36:D36"/>
    <mergeCell ref="C37:D37"/>
    <mergeCell ref="C38:D38"/>
    <mergeCell ref="C39:D39"/>
    <mergeCell ref="C40:D40"/>
    <mergeCell ref="E38:F38"/>
    <mergeCell ref="C15:D15"/>
    <mergeCell ref="C16:D16"/>
    <mergeCell ref="C17:D17"/>
    <mergeCell ref="C18:D18"/>
    <mergeCell ref="C19:D19"/>
    <mergeCell ref="B35:H35"/>
    <mergeCell ref="F44:G44"/>
    <mergeCell ref="F47:G47"/>
    <mergeCell ref="E36:F36"/>
    <mergeCell ref="G36:H36"/>
    <mergeCell ref="E37:F37"/>
    <mergeCell ref="G37:H37"/>
    <mergeCell ref="F41:G41"/>
    <mergeCell ref="G39:H39"/>
    <mergeCell ref="F42:G42"/>
    <mergeCell ref="F43:G43"/>
    <mergeCell ref="C41:E41"/>
    <mergeCell ref="C43:E43"/>
    <mergeCell ref="C45:E45"/>
    <mergeCell ref="C47:E47"/>
    <mergeCell ref="E15:F15"/>
    <mergeCell ref="G15:H15"/>
    <mergeCell ref="E16:F16"/>
    <mergeCell ref="G16:H16"/>
    <mergeCell ref="E17:F17"/>
    <mergeCell ref="B1:H1"/>
    <mergeCell ref="F45:G45"/>
    <mergeCell ref="B2:H3"/>
    <mergeCell ref="D22:D23"/>
    <mergeCell ref="E40:F40"/>
    <mergeCell ref="G40:H40"/>
    <mergeCell ref="E39:F39"/>
    <mergeCell ref="G38:H38"/>
    <mergeCell ref="E22:E23"/>
    <mergeCell ref="G17:H17"/>
    <mergeCell ref="E19:F19"/>
    <mergeCell ref="D5:E5"/>
    <mergeCell ref="B21:H21"/>
    <mergeCell ref="B22:B23"/>
    <mergeCell ref="C22:C23"/>
    <mergeCell ref="B14:H14"/>
    <mergeCell ref="M21:M22"/>
    <mergeCell ref="N21:N22"/>
    <mergeCell ref="E18:F18"/>
    <mergeCell ref="G18:H18"/>
    <mergeCell ref="F22:G22"/>
    <mergeCell ref="H22:H23"/>
    <mergeCell ref="G19:H19"/>
  </mergeCells>
  <printOptions horizontalCentered="1"/>
  <pageMargins left="0.23622047244094491" right="0.27559055118110237" top="0.15748031496062992" bottom="0.23622047244094491" header="0.31496062992125984" footer="0.23622047244094491"/>
  <pageSetup paperSize="9" scale="4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3" zoomScale="110" zoomScaleNormal="110" workbookViewId="0">
      <selection activeCell="M3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140625" style="5" customWidth="1"/>
    <col min="3" max="3" width="19.140625" style="82" customWidth="1"/>
    <col min="4" max="5" width="10.28515625" style="82" customWidth="1"/>
    <col min="6" max="6" width="9.85546875" style="82" customWidth="1"/>
    <col min="7" max="7" width="11.85546875" style="5" customWidth="1"/>
    <col min="8" max="8" width="10.7109375" style="82" customWidth="1"/>
    <col min="9" max="9" width="10.7109375" style="5" bestFit="1" customWidth="1"/>
    <col min="10" max="10" width="12.140625" style="5" customWidth="1"/>
    <col min="11" max="11" width="13.85546875" style="5" customWidth="1"/>
    <col min="12" max="12" width="13.5703125" style="5" customWidth="1"/>
    <col min="13" max="13" width="12.85546875" style="310" customWidth="1"/>
    <col min="14" max="14" width="13.855468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1.75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11.25" customHeight="1" x14ac:dyDescent="0.25"/>
    <row r="5" spans="1:9" x14ac:dyDescent="0.25">
      <c r="B5" s="10" t="s">
        <v>0</v>
      </c>
      <c r="C5" s="48"/>
      <c r="D5" s="234" t="s">
        <v>87</v>
      </c>
      <c r="E5" s="234"/>
    </row>
    <row r="6" spans="1:9" x14ac:dyDescent="0.25">
      <c r="B6" s="10" t="s">
        <v>1</v>
      </c>
      <c r="C6" s="48"/>
      <c r="D6" s="207">
        <v>1956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8</v>
      </c>
      <c r="E8" s="207"/>
    </row>
    <row r="9" spans="1:9" ht="26.25" hidden="1" outlineLevel="1" x14ac:dyDescent="0.25">
      <c r="B9" s="122" t="s">
        <v>4</v>
      </c>
      <c r="C9" s="133"/>
      <c r="D9" s="207" t="s">
        <v>88</v>
      </c>
      <c r="E9" s="207"/>
    </row>
    <row r="10" spans="1:9" collapsed="1" x14ac:dyDescent="0.25">
      <c r="B10" s="10" t="s">
        <v>5</v>
      </c>
      <c r="C10" s="48"/>
      <c r="D10" s="207" t="s">
        <v>253</v>
      </c>
      <c r="E10" s="207"/>
      <c r="I10" s="17"/>
    </row>
    <row r="11" spans="1:9" ht="12" hidden="1" customHeight="1" outlineLevel="1" x14ac:dyDescent="0.25">
      <c r="B11" s="5" t="s">
        <v>6</v>
      </c>
      <c r="D11" s="208" t="s">
        <v>13</v>
      </c>
      <c r="E11" s="208"/>
    </row>
    <row r="12" spans="1:9" ht="31.5" hidden="1" customHeight="1" outlineLevel="1" x14ac:dyDescent="0.25">
      <c r="B12" s="14" t="s">
        <v>7</v>
      </c>
      <c r="C12" s="79"/>
      <c r="D12" s="91" t="s">
        <v>89</v>
      </c>
      <c r="E12" s="208"/>
      <c r="I12" s="17"/>
    </row>
    <row r="13" spans="1:9" ht="9.7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8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444530.6</v>
      </c>
      <c r="D16" s="253"/>
      <c r="E16" s="224">
        <v>317480.88</v>
      </c>
      <c r="F16" s="225"/>
      <c r="G16" s="224">
        <v>127049.72</v>
      </c>
      <c r="H16" s="226"/>
      <c r="I16" s="17"/>
    </row>
    <row r="17" spans="2:15" x14ac:dyDescent="0.25">
      <c r="B17" s="94" t="s">
        <v>16</v>
      </c>
      <c r="C17" s="220">
        <v>436609.07</v>
      </c>
      <c r="D17" s="221"/>
      <c r="E17" s="220">
        <v>311959.56</v>
      </c>
      <c r="F17" s="221"/>
      <c r="G17" s="220">
        <v>124649.51</v>
      </c>
      <c r="H17" s="251"/>
      <c r="I17" s="17"/>
    </row>
    <row r="18" spans="2:15" ht="16.5" thickBot="1" x14ac:dyDescent="0.3">
      <c r="B18" s="95" t="s">
        <v>189</v>
      </c>
      <c r="C18" s="220">
        <v>551813.304</v>
      </c>
      <c r="D18" s="221"/>
      <c r="E18" s="246">
        <v>311201.304</v>
      </c>
      <c r="F18" s="247"/>
      <c r="G18" s="246">
        <v>240612</v>
      </c>
      <c r="H18" s="252"/>
      <c r="I18" s="17"/>
    </row>
    <row r="19" spans="2:15" ht="29.25" customHeight="1" thickBot="1" x14ac:dyDescent="0.3">
      <c r="B19" s="97" t="s">
        <v>297</v>
      </c>
      <c r="C19" s="216">
        <f>E19+G19</f>
        <v>-115204.23400000001</v>
      </c>
      <c r="D19" s="217"/>
      <c r="E19" s="248">
        <f>E17-E18</f>
        <v>758.25599999999395</v>
      </c>
      <c r="F19" s="254"/>
      <c r="G19" s="248">
        <f>G17-G18</f>
        <v>-115962.49</v>
      </c>
      <c r="H19" s="249"/>
      <c r="I19" s="17"/>
    </row>
    <row r="20" spans="2:15" ht="11.25" customHeight="1" x14ac:dyDescent="0.25">
      <c r="B20" s="14"/>
      <c r="C20" s="64"/>
      <c r="D20" s="91"/>
      <c r="E20" s="208"/>
      <c r="I20" s="17"/>
    </row>
    <row r="21" spans="2:15" ht="16.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53292.67</v>
      </c>
      <c r="N23" s="314">
        <f>M23*1.01</f>
        <v>53825.596700000002</v>
      </c>
    </row>
    <row r="24" spans="2:15" ht="63.7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4861.4655938037859</v>
      </c>
      <c r="G24" s="24">
        <f>$N$23/$N$24*E24</f>
        <v>4910.0802497418244</v>
      </c>
      <c r="H24" s="25">
        <f>F24-G24</f>
        <v>-48.614655938038595</v>
      </c>
      <c r="I24" s="60"/>
      <c r="J24" s="27"/>
      <c r="K24" s="27"/>
      <c r="L24" s="28"/>
      <c r="M24" s="315">
        <f>E33-E31</f>
        <v>11.620000000000001</v>
      </c>
      <c r="N24" s="315">
        <f>E33-E31</f>
        <v>11.620000000000001</v>
      </c>
      <c r="O24" s="27"/>
    </row>
    <row r="25" spans="2:15" ht="67.5" customHeight="1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5457.6830722891555</v>
      </c>
      <c r="G25" s="6">
        <f>$N$23/$N$24*E25</f>
        <v>5512.2599030120482</v>
      </c>
      <c r="H25" s="25">
        <f t="shared" ref="H25:H30" si="0">F25-G25</f>
        <v>-54.576830722892737</v>
      </c>
      <c r="I25" s="61"/>
      <c r="J25" s="4"/>
      <c r="K25" s="4"/>
      <c r="L25" s="4"/>
      <c r="M25" s="316"/>
      <c r="N25" s="316"/>
      <c r="O25" s="4"/>
    </row>
    <row r="26" spans="2:15" ht="67.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1467.6122547332184</v>
      </c>
      <c r="G26" s="6">
        <f t="shared" ref="G26:G29" si="2">$N$23/$N$24*E26</f>
        <v>1482.2883772805508</v>
      </c>
      <c r="H26" s="25">
        <f t="shared" si="0"/>
        <v>-14.676122547332398</v>
      </c>
      <c r="I26" s="44"/>
      <c r="L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382.19069133677561</v>
      </c>
      <c r="G27" s="6">
        <f>($N$23/12*2)/$N$24*E27</f>
        <v>386.01259825014341</v>
      </c>
      <c r="H27" s="25">
        <f t="shared" si="0"/>
        <v>-3.8219069133677976</v>
      </c>
      <c r="I27" s="44"/>
      <c r="L27" s="17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5411.8201893287423</v>
      </c>
      <c r="G28" s="6">
        <f t="shared" si="2"/>
        <v>5465.938391222031</v>
      </c>
      <c r="H28" s="25">
        <f t="shared" si="0"/>
        <v>-54.118201893288642</v>
      </c>
      <c r="I28" s="44"/>
    </row>
    <row r="29" spans="2:15" ht="210.7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25729.077340791733</v>
      </c>
      <c r="G29" s="6">
        <f t="shared" si="2"/>
        <v>25986.368114199657</v>
      </c>
      <c r="H29" s="25">
        <f t="shared" si="0"/>
        <v>-257.29077340792355</v>
      </c>
      <c r="I29" s="61"/>
      <c r="J29" s="4"/>
      <c r="K29" s="4"/>
      <c r="L29" s="3"/>
      <c r="M29" s="316"/>
      <c r="N29" s="316"/>
    </row>
    <row r="30" spans="2:15" ht="102" x14ac:dyDescent="0.25">
      <c r="B30" s="29" t="s">
        <v>205</v>
      </c>
      <c r="C30" s="8" t="s">
        <v>223</v>
      </c>
      <c r="D30" s="22" t="s">
        <v>201</v>
      </c>
      <c r="E30" s="99">
        <v>0.24</v>
      </c>
      <c r="F30" s="23">
        <f t="shared" si="1"/>
        <v>1100.7091910499137</v>
      </c>
      <c r="G30" s="6">
        <f t="shared" ref="G30" si="3">$N$23/$N$24*E30</f>
        <v>1111.7162829604131</v>
      </c>
      <c r="H30" s="25">
        <f t="shared" si="0"/>
        <v>-11.007091910499412</v>
      </c>
      <c r="I30" s="44"/>
    </row>
    <row r="31" spans="2:15" ht="67.5" x14ac:dyDescent="0.25">
      <c r="B31" s="30" t="s">
        <v>206</v>
      </c>
      <c r="C31" s="8" t="s">
        <v>223</v>
      </c>
      <c r="D31" s="22" t="s">
        <v>201</v>
      </c>
      <c r="E31" s="99">
        <v>4.93</v>
      </c>
      <c r="F31" s="23">
        <v>24304.61</v>
      </c>
      <c r="G31" s="6">
        <v>24812</v>
      </c>
      <c r="H31" s="25">
        <f>F31-G31</f>
        <v>-507.38999999999942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1.21+0.31</f>
        <v>1.52</v>
      </c>
      <c r="F32" s="23">
        <f t="shared" si="1"/>
        <v>6971.1582099827865</v>
      </c>
      <c r="G32" s="6">
        <f t="shared" ref="G32" si="4">$N$23/$N$24*E32</f>
        <v>7040.8697920826162</v>
      </c>
      <c r="H32" s="33">
        <f>F32-G32</f>
        <v>-69.711582099829684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16.55</v>
      </c>
      <c r="F33" s="56">
        <f>SUM(F24:F32)</f>
        <v>75686.3265433161</v>
      </c>
      <c r="G33" s="57">
        <f>SUM(G24:G32)</f>
        <v>76707.533708749281</v>
      </c>
      <c r="H33" s="38">
        <f>SUM(H24:H32)</f>
        <v>-1021.2071654331722</v>
      </c>
      <c r="I33" s="44"/>
    </row>
    <row r="34" spans="2:15" x14ac:dyDescent="0.25">
      <c r="B34" s="17"/>
      <c r="C34" s="17"/>
      <c r="D34" s="17"/>
      <c r="E34" s="86"/>
      <c r="G34" s="86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39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520216.92654331611</v>
      </c>
      <c r="D37" s="223"/>
      <c r="E37" s="224">
        <f>F24+F25+F26+F27+F28+F29+F30+F32+E16</f>
        <v>368862.59654331609</v>
      </c>
      <c r="F37" s="225"/>
      <c r="G37" s="224">
        <f>F31+G16</f>
        <v>151354.33000000002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512466.56999999995</v>
      </c>
      <c r="D38" s="221"/>
      <c r="E38" s="220">
        <f>E17+52097.81</f>
        <v>364057.37</v>
      </c>
      <c r="F38" s="221"/>
      <c r="G38" s="220">
        <f>G17+23759.69</f>
        <v>148409.19999999998</v>
      </c>
      <c r="H38" s="251"/>
      <c r="I38" s="76"/>
      <c r="J38" s="77"/>
      <c r="K38" s="12"/>
      <c r="L38" s="9"/>
      <c r="M38" s="318"/>
    </row>
    <row r="39" spans="2:15" ht="16.5" thickBot="1" x14ac:dyDescent="0.3">
      <c r="B39" s="95" t="s">
        <v>189</v>
      </c>
      <c r="C39" s="227">
        <f>E39+G39</f>
        <v>628520.83770874934</v>
      </c>
      <c r="D39" s="228"/>
      <c r="E39" s="246">
        <f>G24+G25+G26+G27+G28+G29+G30+G32+E18</f>
        <v>363096.83770874928</v>
      </c>
      <c r="F39" s="247"/>
      <c r="G39" s="246">
        <f>G31+G18</f>
        <v>265424</v>
      </c>
      <c r="H39" s="252"/>
      <c r="I39" s="76"/>
      <c r="J39" s="77"/>
      <c r="K39" s="44"/>
      <c r="L39" s="44"/>
    </row>
    <row r="40" spans="2:15" ht="30.75" customHeight="1" thickBot="1" x14ac:dyDescent="0.3">
      <c r="B40" s="97" t="s">
        <v>298</v>
      </c>
      <c r="C40" s="216">
        <f>E40+G40</f>
        <v>-116054.26770874931</v>
      </c>
      <c r="D40" s="217"/>
      <c r="E40" s="248">
        <f>E38-E39</f>
        <v>960.53229125071084</v>
      </c>
      <c r="F40" s="254"/>
      <c r="G40" s="248">
        <f>G38-G39</f>
        <v>-117014.80000000002</v>
      </c>
      <c r="H40" s="249"/>
      <c r="I40" s="76"/>
      <c r="J40" s="77"/>
      <c r="K40" s="44"/>
      <c r="L40" s="44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4"/>
      <c r="M41" s="316"/>
      <c r="N41" s="316"/>
      <c r="O41" s="4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4"/>
      <c r="M42" s="316"/>
      <c r="N42" s="316"/>
      <c r="O42" s="4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9" customHeight="1" x14ac:dyDescent="0.25">
      <c r="E48" s="209"/>
    </row>
  </sheetData>
  <mergeCells count="54">
    <mergeCell ref="C43:E43"/>
    <mergeCell ref="C37:D37"/>
    <mergeCell ref="C38:D38"/>
    <mergeCell ref="C39:D39"/>
    <mergeCell ref="C40:D40"/>
    <mergeCell ref="E38:F38"/>
    <mergeCell ref="G38:H38"/>
    <mergeCell ref="E39:F39"/>
    <mergeCell ref="G39:H39"/>
    <mergeCell ref="C41:E41"/>
    <mergeCell ref="B1:H1"/>
    <mergeCell ref="D5:E5"/>
    <mergeCell ref="B2:H3"/>
    <mergeCell ref="G16:H16"/>
    <mergeCell ref="G36:H36"/>
    <mergeCell ref="B21:H21"/>
    <mergeCell ref="B22:B23"/>
    <mergeCell ref="C22:C23"/>
    <mergeCell ref="D22:D23"/>
    <mergeCell ref="E22:E23"/>
    <mergeCell ref="F22:G22"/>
    <mergeCell ref="H22:H23"/>
    <mergeCell ref="B35:H35"/>
    <mergeCell ref="E36:F36"/>
    <mergeCell ref="C36:D36"/>
    <mergeCell ref="C15:D15"/>
    <mergeCell ref="N21:N22"/>
    <mergeCell ref="E19:F19"/>
    <mergeCell ref="G19:H19"/>
    <mergeCell ref="M21:M22"/>
    <mergeCell ref="C17:D17"/>
    <mergeCell ref="C18:D18"/>
    <mergeCell ref="C19:D19"/>
    <mergeCell ref="B14:H14"/>
    <mergeCell ref="E15:F15"/>
    <mergeCell ref="G15:H15"/>
    <mergeCell ref="E16:F16"/>
    <mergeCell ref="C16:D16"/>
    <mergeCell ref="C45:E45"/>
    <mergeCell ref="C47:E47"/>
    <mergeCell ref="E17:F17"/>
    <mergeCell ref="G17:H17"/>
    <mergeCell ref="E18:F18"/>
    <mergeCell ref="G18:H18"/>
    <mergeCell ref="F47:G47"/>
    <mergeCell ref="F42:G42"/>
    <mergeCell ref="F43:G43"/>
    <mergeCell ref="E37:F37"/>
    <mergeCell ref="G37:H37"/>
    <mergeCell ref="F41:G41"/>
    <mergeCell ref="E40:F40"/>
    <mergeCell ref="G40:H40"/>
    <mergeCell ref="F44:G44"/>
    <mergeCell ref="F45:G45"/>
  </mergeCells>
  <printOptions horizontalCentered="1"/>
  <pageMargins left="0.19685039370078741" right="0.19685039370078741" top="0.31496062992125984" bottom="0.23622047244094491" header="0.31496062992125984" footer="0.24"/>
  <pageSetup paperSize="9" scale="4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13" zoomScale="110" zoomScaleNormal="110" workbookViewId="0">
      <selection activeCell="M13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7.5703125" style="5" customWidth="1"/>
    <col min="3" max="3" width="20" style="82" customWidth="1"/>
    <col min="4" max="4" width="8.85546875" style="82" customWidth="1"/>
    <col min="5" max="5" width="10.28515625" style="82" customWidth="1"/>
    <col min="6" max="6" width="9.42578125" style="5" customWidth="1"/>
    <col min="7" max="7" width="10.42578125" style="5" customWidth="1"/>
    <col min="8" max="8" width="10.42578125" style="82" customWidth="1"/>
    <col min="9" max="9" width="10.7109375" style="5" bestFit="1" customWidth="1"/>
    <col min="10" max="12" width="9.140625" style="5"/>
    <col min="13" max="14" width="12.71093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4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10.5" customHeight="1" x14ac:dyDescent="0.25"/>
    <row r="5" spans="1:9" x14ac:dyDescent="0.25">
      <c r="B5" s="10" t="s">
        <v>0</v>
      </c>
      <c r="C5" s="48"/>
      <c r="D5" s="234" t="s">
        <v>90</v>
      </c>
      <c r="E5" s="234"/>
    </row>
    <row r="6" spans="1:9" x14ac:dyDescent="0.25">
      <c r="B6" s="10" t="s">
        <v>1</v>
      </c>
      <c r="C6" s="48"/>
      <c r="D6" s="207">
        <v>1973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16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91</v>
      </c>
      <c r="E9" s="207"/>
    </row>
    <row r="10" spans="1:9" collapsed="1" x14ac:dyDescent="0.25">
      <c r="B10" s="10" t="s">
        <v>5</v>
      </c>
      <c r="C10" s="48"/>
      <c r="D10" s="207" t="s">
        <v>254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92</v>
      </c>
      <c r="E12" s="208"/>
      <c r="I12" s="17"/>
    </row>
    <row r="13" spans="1:9" ht="6.7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1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630498.75</v>
      </c>
      <c r="D16" s="253"/>
      <c r="E16" s="224">
        <v>428803.5</v>
      </c>
      <c r="F16" s="225"/>
      <c r="G16" s="224">
        <v>201695.25</v>
      </c>
      <c r="H16" s="226"/>
      <c r="I16" s="17"/>
    </row>
    <row r="17" spans="2:15" x14ac:dyDescent="0.25">
      <c r="B17" s="94" t="s">
        <v>16</v>
      </c>
      <c r="C17" s="220">
        <v>610620.05000000005</v>
      </c>
      <c r="D17" s="221"/>
      <c r="E17" s="220">
        <v>415377.43</v>
      </c>
      <c r="F17" s="221"/>
      <c r="G17" s="220">
        <v>195242.62</v>
      </c>
      <c r="H17" s="251"/>
      <c r="I17" s="17"/>
    </row>
    <row r="18" spans="2:15" ht="16.5" thickBot="1" x14ac:dyDescent="0.3">
      <c r="B18" s="95" t="s">
        <v>189</v>
      </c>
      <c r="C18" s="220">
        <v>611274.00560000003</v>
      </c>
      <c r="D18" s="221"/>
      <c r="E18" s="246">
        <v>433645.00560000003</v>
      </c>
      <c r="F18" s="247"/>
      <c r="G18" s="246">
        <v>177629</v>
      </c>
      <c r="H18" s="252"/>
      <c r="I18" s="17"/>
    </row>
    <row r="19" spans="2:15" ht="31.5" customHeight="1" thickBot="1" x14ac:dyDescent="0.3">
      <c r="B19" s="97" t="s">
        <v>297</v>
      </c>
      <c r="C19" s="216">
        <f>E19+G19</f>
        <v>-653.9556000000448</v>
      </c>
      <c r="D19" s="217"/>
      <c r="E19" s="248">
        <f>E17-E18</f>
        <v>-18267.57560000004</v>
      </c>
      <c r="F19" s="254"/>
      <c r="G19" s="248">
        <f>G17-G18</f>
        <v>17613.619999999995</v>
      </c>
      <c r="H19" s="249"/>
      <c r="I19" s="17"/>
    </row>
    <row r="20" spans="2:15" ht="12" customHeight="1" x14ac:dyDescent="0.25">
      <c r="B20" s="14"/>
      <c r="C20" s="64"/>
      <c r="D20" s="91"/>
      <c r="E20" s="208"/>
      <c r="F20" s="82"/>
      <c r="I20" s="17"/>
    </row>
    <row r="21" spans="2:15" ht="18.7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71658.47</v>
      </c>
      <c r="N23" s="314">
        <f>M23*1.01</f>
        <v>72375.054700000008</v>
      </c>
    </row>
    <row r="24" spans="2:15" ht="56.25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7186.1852601702931</v>
      </c>
      <c r="G24" s="24">
        <f>$N$23/$N$24*E24</f>
        <v>7258.0471127719975</v>
      </c>
      <c r="H24" s="25">
        <f>F24-G24</f>
        <v>-71.861852601704413</v>
      </c>
      <c r="I24" s="60"/>
      <c r="J24" s="27"/>
      <c r="K24" s="27"/>
      <c r="L24" s="28"/>
      <c r="M24" s="315">
        <f>E33-E31</f>
        <v>10.57</v>
      </c>
      <c r="N24" s="315">
        <f>E33-E31</f>
        <v>10.57</v>
      </c>
      <c r="O24" s="27"/>
    </row>
    <row r="25" spans="2:15" ht="56.25" x14ac:dyDescent="0.25">
      <c r="B25" s="29" t="s">
        <v>202</v>
      </c>
      <c r="C25" s="8" t="s">
        <v>223</v>
      </c>
      <c r="D25" s="22" t="s">
        <v>201</v>
      </c>
      <c r="E25" s="99">
        <v>0</v>
      </c>
      <c r="F25" s="23">
        <f>$M$23/$M$24*E25</f>
        <v>0</v>
      </c>
      <c r="G25" s="6">
        <f>$N$23/$N$24*E25</f>
        <v>0</v>
      </c>
      <c r="H25" s="25">
        <f t="shared" ref="H25:H30" si="0">F25-G25</f>
        <v>0</v>
      </c>
      <c r="I25" s="61"/>
      <c r="J25" s="4"/>
      <c r="K25" s="4"/>
      <c r="L25" s="4"/>
      <c r="M25" s="316"/>
      <c r="N25" s="316"/>
      <c r="O25" s="4"/>
    </row>
    <row r="26" spans="2:15" ht="56.2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>$M$23/$M$24*E26</f>
        <v>2169.414418164617</v>
      </c>
      <c r="G26" s="6">
        <f>$N$23/$N$24*E26</f>
        <v>2191.1085623462632</v>
      </c>
      <c r="H26" s="25">
        <f t="shared" si="0"/>
        <v>-21.694144181646152</v>
      </c>
      <c r="I26" s="44"/>
      <c r="L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564.95167139703562</v>
      </c>
      <c r="G27" s="6">
        <f>($N$23/12*2)/$N$24*E27</f>
        <v>570.60118811100608</v>
      </c>
      <c r="H27" s="25">
        <f t="shared" si="0"/>
        <v>-5.6495167139704563</v>
      </c>
      <c r="I27" s="44"/>
      <c r="L27" s="17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ref="F28:F32" si="1">$M$23/$M$24*E28</f>
        <v>7999.7156669820242</v>
      </c>
      <c r="G28" s="6">
        <f t="shared" ref="G28:G29" si="2">$N$23/$N$24*E28</f>
        <v>8079.7128236518447</v>
      </c>
      <c r="H28" s="25">
        <f t="shared" si="0"/>
        <v>-79.99715666982047</v>
      </c>
      <c r="I28" s="44"/>
    </row>
    <row r="29" spans="2:15" ht="221.2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38032.546518448442</v>
      </c>
      <c r="G29" s="6">
        <f t="shared" si="2"/>
        <v>38412.871983632926</v>
      </c>
      <c r="H29" s="25">
        <f t="shared" si="0"/>
        <v>-380.32546518448362</v>
      </c>
      <c r="I29" s="61"/>
      <c r="J29" s="4"/>
      <c r="K29" s="4"/>
      <c r="L29" s="3"/>
      <c r="M29" s="316"/>
      <c r="N29" s="316"/>
    </row>
    <row r="30" spans="2:15" ht="102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1288.0898107852413</v>
      </c>
      <c r="G30" s="6">
        <f t="shared" ref="G30" si="3">$N$23/$N$24*E30</f>
        <v>1300.9707088930938</v>
      </c>
      <c r="H30" s="25">
        <f t="shared" si="0"/>
        <v>-12.880898107852545</v>
      </c>
      <c r="I30" s="44"/>
    </row>
    <row r="31" spans="2:15" ht="56.25" x14ac:dyDescent="0.25">
      <c r="B31" s="30" t="s">
        <v>206</v>
      </c>
      <c r="C31" s="8" t="s">
        <v>223</v>
      </c>
      <c r="D31" s="22" t="s">
        <v>201</v>
      </c>
      <c r="E31" s="99">
        <v>5.31</v>
      </c>
      <c r="F31" s="23">
        <v>38946.410000000003</v>
      </c>
      <c r="G31" s="6">
        <v>1299</v>
      </c>
      <c r="H31" s="25">
        <f>F31-G31</f>
        <v>37647.410000000003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1.41+0.3</f>
        <v>1.71</v>
      </c>
      <c r="F32" s="23">
        <f t="shared" si="1"/>
        <v>11592.808297067171</v>
      </c>
      <c r="G32" s="6">
        <f t="shared" ref="G32" si="4">$N$23/$N$24*E32</f>
        <v>11708.736380037844</v>
      </c>
      <c r="H32" s="33">
        <f>F32-G32</f>
        <v>-115.92808297067313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15.879999999999999</v>
      </c>
      <c r="F33" s="56">
        <f>SUM(F24:F32)</f>
        <v>107780.12164301482</v>
      </c>
      <c r="G33" s="57">
        <f>SUM(G24:G32)</f>
        <v>70821.048759444981</v>
      </c>
      <c r="H33" s="38">
        <f>SUM(H24:H32)</f>
        <v>36959.072883569854</v>
      </c>
      <c r="I33" s="44"/>
    </row>
    <row r="34" spans="2:15" x14ac:dyDescent="0.25">
      <c r="B34" s="17"/>
      <c r="C34" s="17"/>
      <c r="D34" s="17"/>
      <c r="E34" s="86"/>
      <c r="F34" s="82"/>
      <c r="G34" s="86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4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738278.87164301483</v>
      </c>
      <c r="D37" s="223"/>
      <c r="E37" s="224">
        <f>F24+F25+F26+F27+F28+F29+F30+F32+E16</f>
        <v>497637.2116430148</v>
      </c>
      <c r="F37" s="225"/>
      <c r="G37" s="224">
        <f>F31+G16</f>
        <v>240641.66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716869.07</v>
      </c>
      <c r="D38" s="221"/>
      <c r="E38" s="220">
        <f>E17+68836.4</f>
        <v>484213.82999999996</v>
      </c>
      <c r="F38" s="221"/>
      <c r="G38" s="220">
        <f>G17+37412.62</f>
        <v>232655.24</v>
      </c>
      <c r="H38" s="251"/>
      <c r="I38" s="76"/>
      <c r="J38" s="77"/>
      <c r="K38" s="12"/>
      <c r="L38" s="9"/>
      <c r="M38" s="318"/>
    </row>
    <row r="39" spans="2:15" ht="16.5" thickBot="1" x14ac:dyDescent="0.3">
      <c r="B39" s="95" t="s">
        <v>189</v>
      </c>
      <c r="C39" s="227">
        <f>E39+G39</f>
        <v>682095.054359445</v>
      </c>
      <c r="D39" s="228"/>
      <c r="E39" s="246">
        <f>G24+G25+G26+G27+G28+G29+G30+G32+E18</f>
        <v>503167.054359445</v>
      </c>
      <c r="F39" s="247"/>
      <c r="G39" s="246">
        <f>G31+G18</f>
        <v>178928</v>
      </c>
      <c r="H39" s="252"/>
      <c r="I39" s="76"/>
      <c r="J39" s="77"/>
      <c r="K39" s="44"/>
      <c r="L39" s="44"/>
    </row>
    <row r="40" spans="2:15" ht="25.5" thickBot="1" x14ac:dyDescent="0.3">
      <c r="B40" s="97" t="s">
        <v>298</v>
      </c>
      <c r="C40" s="216">
        <f>E40+G40</f>
        <v>34774.01564055495</v>
      </c>
      <c r="D40" s="217"/>
      <c r="E40" s="248">
        <f>E38-E39</f>
        <v>-18953.224359445041</v>
      </c>
      <c r="F40" s="254"/>
      <c r="G40" s="248">
        <f>G38-G39</f>
        <v>53727.239999999991</v>
      </c>
      <c r="H40" s="249"/>
      <c r="I40" s="76"/>
      <c r="J40" s="77"/>
      <c r="K40" s="44"/>
      <c r="L40" s="44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4"/>
      <c r="M41" s="316"/>
      <c r="N41" s="316"/>
      <c r="O41" s="4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4"/>
      <c r="M42" s="316"/>
      <c r="N42" s="316"/>
      <c r="O42" s="4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9.75" customHeight="1" x14ac:dyDescent="0.25">
      <c r="E48" s="209"/>
      <c r="F48" s="82"/>
    </row>
  </sheetData>
  <mergeCells count="54">
    <mergeCell ref="C41:E41"/>
    <mergeCell ref="C43:E43"/>
    <mergeCell ref="C45:E45"/>
    <mergeCell ref="G37:H37"/>
    <mergeCell ref="E40:F40"/>
    <mergeCell ref="E38:F38"/>
    <mergeCell ref="G38:H38"/>
    <mergeCell ref="E39:F39"/>
    <mergeCell ref="G39:H39"/>
    <mergeCell ref="G40:H40"/>
    <mergeCell ref="B22:B23"/>
    <mergeCell ref="C22:C23"/>
    <mergeCell ref="D22:D23"/>
    <mergeCell ref="E22:E23"/>
    <mergeCell ref="C36:D36"/>
    <mergeCell ref="B1:H1"/>
    <mergeCell ref="F47:G47"/>
    <mergeCell ref="F43:G43"/>
    <mergeCell ref="F44:G44"/>
    <mergeCell ref="D5:E5"/>
    <mergeCell ref="B21:H21"/>
    <mergeCell ref="F22:G22"/>
    <mergeCell ref="H22:H23"/>
    <mergeCell ref="B2:H3"/>
    <mergeCell ref="B35:H35"/>
    <mergeCell ref="B14:H14"/>
    <mergeCell ref="E15:F15"/>
    <mergeCell ref="G15:H15"/>
    <mergeCell ref="E16:F16"/>
    <mergeCell ref="G16:H16"/>
    <mergeCell ref="C15:D15"/>
    <mergeCell ref="C16:D16"/>
    <mergeCell ref="E17:F17"/>
    <mergeCell ref="G17:H17"/>
    <mergeCell ref="E18:F18"/>
    <mergeCell ref="G18:H18"/>
    <mergeCell ref="C17:D17"/>
    <mergeCell ref="C18:D18"/>
    <mergeCell ref="C47:E47"/>
    <mergeCell ref="N21:N22"/>
    <mergeCell ref="E19:F19"/>
    <mergeCell ref="G19:H19"/>
    <mergeCell ref="M21:M22"/>
    <mergeCell ref="C19:D19"/>
    <mergeCell ref="C40:D40"/>
    <mergeCell ref="E36:F36"/>
    <mergeCell ref="G36:H36"/>
    <mergeCell ref="C37:D37"/>
    <mergeCell ref="C38:D38"/>
    <mergeCell ref="C39:D39"/>
    <mergeCell ref="F41:G41"/>
    <mergeCell ref="F42:G42"/>
    <mergeCell ref="F45:G45"/>
    <mergeCell ref="E37:F37"/>
  </mergeCells>
  <printOptions horizontalCentered="1"/>
  <pageMargins left="0.19685039370078741" right="0.19685039370078741" top="0.15748031496062992" bottom="0.27559055118110237" header="0.31496062992125984" footer="0.23622047244094491"/>
  <pageSetup paperSize="9" scale="5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9"/>
  <sheetViews>
    <sheetView topLeftCell="A19" zoomScale="110" zoomScaleNormal="110" workbookViewId="0">
      <selection activeCell="M31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140625" style="5" customWidth="1"/>
    <col min="3" max="3" width="20.5703125" style="82" customWidth="1"/>
    <col min="4" max="4" width="8.42578125" style="82" customWidth="1"/>
    <col min="5" max="5" width="10.28515625" style="82" customWidth="1"/>
    <col min="6" max="6" width="10.140625" style="82" customWidth="1"/>
    <col min="7" max="7" width="10.42578125" style="5" customWidth="1"/>
    <col min="8" max="8" width="11" style="82" customWidth="1"/>
    <col min="9" max="9" width="10.7109375" style="5" bestFit="1" customWidth="1"/>
    <col min="10" max="10" width="10.5703125" style="5" customWidth="1"/>
    <col min="11" max="11" width="13.85546875" style="5" customWidth="1"/>
    <col min="12" max="12" width="9.140625" style="5"/>
    <col min="13" max="13" width="14.28515625" style="310" customWidth="1"/>
    <col min="14" max="14" width="12.71093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3.25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11.25" customHeight="1" x14ac:dyDescent="0.25"/>
    <row r="5" spans="1:9" x14ac:dyDescent="0.25">
      <c r="B5" s="9" t="s">
        <v>0</v>
      </c>
      <c r="C5" s="72"/>
      <c r="D5" s="135" t="s">
        <v>93</v>
      </c>
      <c r="E5" s="135"/>
      <c r="F5" s="48"/>
    </row>
    <row r="6" spans="1:9" x14ac:dyDescent="0.25">
      <c r="B6" s="9" t="s">
        <v>1</v>
      </c>
      <c r="C6" s="72"/>
      <c r="D6" s="130">
        <v>1958</v>
      </c>
      <c r="E6" s="207"/>
      <c r="F6" s="48"/>
    </row>
    <row r="7" spans="1:9" hidden="1" outlineLevel="1" x14ac:dyDescent="0.25">
      <c r="B7" s="9" t="s">
        <v>2</v>
      </c>
      <c r="C7" s="72"/>
      <c r="D7" s="130">
        <v>2</v>
      </c>
      <c r="E7" s="207"/>
      <c r="F7" s="48"/>
    </row>
    <row r="8" spans="1:9" hidden="1" outlineLevel="1" x14ac:dyDescent="0.25">
      <c r="B8" s="9" t="s">
        <v>3</v>
      </c>
      <c r="C8" s="72"/>
      <c r="D8" s="130">
        <v>8</v>
      </c>
      <c r="E8" s="207"/>
      <c r="F8" s="48"/>
    </row>
    <row r="9" spans="1:9" ht="26.25" hidden="1" outlineLevel="1" x14ac:dyDescent="0.25">
      <c r="B9" s="83" t="s">
        <v>4</v>
      </c>
      <c r="C9" s="41"/>
      <c r="D9" s="130" t="s">
        <v>94</v>
      </c>
      <c r="E9" s="207"/>
      <c r="F9" s="48"/>
    </row>
    <row r="10" spans="1:9" collapsed="1" x14ac:dyDescent="0.25">
      <c r="B10" s="9" t="s">
        <v>5</v>
      </c>
      <c r="C10" s="72"/>
      <c r="D10" s="130" t="s">
        <v>255</v>
      </c>
      <c r="E10" s="207"/>
      <c r="F10" s="48"/>
      <c r="I10" s="17"/>
    </row>
    <row r="11" spans="1:9" ht="16.5" hidden="1" customHeight="1" outlineLevel="1" x14ac:dyDescent="0.25">
      <c r="B11" s="44" t="s">
        <v>6</v>
      </c>
      <c r="C11" s="43"/>
      <c r="D11" s="90" t="s">
        <v>13</v>
      </c>
      <c r="E11" s="208"/>
    </row>
    <row r="12" spans="1:9" ht="15.75" hidden="1" customHeight="1" outlineLevel="1" x14ac:dyDescent="0.25">
      <c r="B12" s="69" t="s">
        <v>7</v>
      </c>
      <c r="C12" s="80"/>
      <c r="D12" s="89" t="s">
        <v>95</v>
      </c>
      <c r="E12" s="208"/>
      <c r="I12" s="17"/>
    </row>
    <row r="13" spans="1:9" ht="11.25" customHeight="1" collapsed="1" x14ac:dyDescent="0.25">
      <c r="B13" s="69"/>
      <c r="C13" s="80"/>
      <c r="D13" s="89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3.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292432.52999999997</v>
      </c>
      <c r="D16" s="253"/>
      <c r="E16" s="224">
        <v>212779.83999999997</v>
      </c>
      <c r="F16" s="225"/>
      <c r="G16" s="224">
        <v>79652.69</v>
      </c>
      <c r="H16" s="226"/>
      <c r="I16" s="17"/>
    </row>
    <row r="17" spans="2:15" x14ac:dyDescent="0.25">
      <c r="B17" s="94" t="s">
        <v>16</v>
      </c>
      <c r="C17" s="220">
        <v>289414.71999999997</v>
      </c>
      <c r="D17" s="221"/>
      <c r="E17" s="220">
        <v>209453.37999999998</v>
      </c>
      <c r="F17" s="221"/>
      <c r="G17" s="220">
        <v>79961.34</v>
      </c>
      <c r="H17" s="251"/>
      <c r="I17" s="17"/>
    </row>
    <row r="18" spans="2:15" ht="16.5" thickBot="1" x14ac:dyDescent="0.3">
      <c r="B18" s="95" t="s">
        <v>189</v>
      </c>
      <c r="C18" s="220">
        <v>302551.413</v>
      </c>
      <c r="D18" s="221"/>
      <c r="E18" s="246">
        <v>223317.413</v>
      </c>
      <c r="F18" s="247"/>
      <c r="G18" s="246">
        <v>79234</v>
      </c>
      <c r="H18" s="252"/>
      <c r="I18" s="17"/>
    </row>
    <row r="19" spans="2:15" ht="27.75" customHeight="1" thickBot="1" x14ac:dyDescent="0.3">
      <c r="B19" s="97" t="s">
        <v>297</v>
      </c>
      <c r="C19" s="216">
        <f>E19+G19</f>
        <v>-13136.693000000028</v>
      </c>
      <c r="D19" s="217"/>
      <c r="E19" s="248">
        <f>E17-E18</f>
        <v>-13864.033000000025</v>
      </c>
      <c r="F19" s="254"/>
      <c r="G19" s="248">
        <f>G17-G18</f>
        <v>727.33999999999651</v>
      </c>
      <c r="H19" s="249"/>
      <c r="I19" s="17"/>
    </row>
    <row r="20" spans="2:15" x14ac:dyDescent="0.25">
      <c r="B20" s="14"/>
      <c r="C20" s="64"/>
      <c r="D20" s="91"/>
      <c r="E20" s="208"/>
      <c r="I20" s="17"/>
    </row>
    <row r="21" spans="2:15" ht="17.2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28163.77</v>
      </c>
      <c r="N23" s="314">
        <f>M23*1.01</f>
        <v>28445.4077</v>
      </c>
    </row>
    <row r="24" spans="2:15" ht="56.25" x14ac:dyDescent="0.25">
      <c r="B24" s="21" t="s">
        <v>191</v>
      </c>
      <c r="C24" s="8" t="s">
        <v>223</v>
      </c>
      <c r="D24" s="22" t="s">
        <v>201</v>
      </c>
      <c r="E24" s="98">
        <v>0</v>
      </c>
      <c r="F24" s="23">
        <f>$M$23/$M$24*E24</f>
        <v>0</v>
      </c>
      <c r="G24" s="24">
        <f>$N$23/$N$24*E24</f>
        <v>0</v>
      </c>
      <c r="H24" s="25">
        <f>F24-G24</f>
        <v>0</v>
      </c>
      <c r="I24" s="60"/>
      <c r="J24" s="27"/>
      <c r="K24" s="27"/>
      <c r="L24" s="28"/>
      <c r="M24" s="315">
        <f>E33-E31</f>
        <v>6.6700000000000017</v>
      </c>
      <c r="N24" s="315">
        <f>E33-E31</f>
        <v>6.6700000000000017</v>
      </c>
      <c r="O24" s="27"/>
    </row>
    <row r="25" spans="2:15" ht="56.25" x14ac:dyDescent="0.25">
      <c r="B25" s="29" t="s">
        <v>202</v>
      </c>
      <c r="C25" s="8" t="s">
        <v>223</v>
      </c>
      <c r="D25" s="22" t="s">
        <v>201</v>
      </c>
      <c r="E25" s="99">
        <v>0</v>
      </c>
      <c r="F25" s="23">
        <f>$M$23/$M$24*E25</f>
        <v>0</v>
      </c>
      <c r="G25" s="6">
        <f>$N$23/$N$24*E25</f>
        <v>0</v>
      </c>
      <c r="H25" s="25">
        <f t="shared" ref="H25:H30" si="0">F25-G25</f>
        <v>0</v>
      </c>
      <c r="I25" s="61"/>
      <c r="J25" s="4"/>
      <c r="K25" s="4"/>
      <c r="L25" s="4"/>
      <c r="M25" s="316"/>
      <c r="N25" s="316"/>
      <c r="O25" s="4"/>
    </row>
    <row r="26" spans="2:15" ht="56.2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1351.1853673163414</v>
      </c>
      <c r="G26" s="6">
        <f t="shared" ref="G26:G29" si="2">$N$23/$N$24*E26</f>
        <v>1364.697220989505</v>
      </c>
      <c r="H26" s="25">
        <f t="shared" si="0"/>
        <v>-13.511853673163614</v>
      </c>
      <c r="I26" s="44"/>
      <c r="L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351.87118940529729</v>
      </c>
      <c r="G27" s="6">
        <f>($N$23/12*2)/$N$24*E27</f>
        <v>355.38990129935024</v>
      </c>
      <c r="H27" s="25">
        <f t="shared" si="0"/>
        <v>-3.5187118940529558</v>
      </c>
      <c r="I27" s="44"/>
      <c r="L27" s="17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4982.4960419790086</v>
      </c>
      <c r="G28" s="6">
        <f t="shared" si="2"/>
        <v>5032.3210023987995</v>
      </c>
      <c r="H28" s="25">
        <f t="shared" si="0"/>
        <v>-49.824960419790841</v>
      </c>
      <c r="I28" s="44"/>
    </row>
    <row r="29" spans="2:15" ht="216" customHeight="1" x14ac:dyDescent="0.25">
      <c r="B29" s="29" t="s">
        <v>219</v>
      </c>
      <c r="C29" s="32" t="s">
        <v>204</v>
      </c>
      <c r="D29" s="22" t="s">
        <v>201</v>
      </c>
      <c r="E29" s="99">
        <v>4.01</v>
      </c>
      <c r="F29" s="23">
        <f t="shared" si="1"/>
        <v>16932.041634182904</v>
      </c>
      <c r="G29" s="6">
        <f t="shared" si="2"/>
        <v>17101.362050524735</v>
      </c>
      <c r="H29" s="25">
        <f t="shared" si="0"/>
        <v>-169.32041634183042</v>
      </c>
      <c r="I29" s="61"/>
      <c r="J29" s="4"/>
      <c r="K29" s="4"/>
      <c r="L29" s="3"/>
      <c r="M29" s="316"/>
      <c r="N29" s="316"/>
    </row>
    <row r="30" spans="2:15" ht="102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802.26631184407779</v>
      </c>
      <c r="G30" s="6">
        <f t="shared" ref="G30" si="3">$N$23/$N$24*E30</f>
        <v>810.28897496251864</v>
      </c>
      <c r="H30" s="25">
        <f t="shared" si="0"/>
        <v>-8.0226631184408461</v>
      </c>
      <c r="I30" s="44"/>
    </row>
    <row r="31" spans="2:15" ht="56.25" x14ac:dyDescent="0.25">
      <c r="B31" s="30" t="s">
        <v>206</v>
      </c>
      <c r="C31" s="8" t="s">
        <v>223</v>
      </c>
      <c r="D31" s="22" t="s">
        <v>201</v>
      </c>
      <c r="E31" s="99">
        <v>3.6</v>
      </c>
      <c r="F31" s="23">
        <v>16954.77</v>
      </c>
      <c r="G31" s="6">
        <v>67307</v>
      </c>
      <c r="H31" s="25">
        <f>F31-G31</f>
        <v>-50352.229999999996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0.28+0.19</f>
        <v>0.47000000000000003</v>
      </c>
      <c r="F32" s="23">
        <f t="shared" si="1"/>
        <v>1984.5535082458766</v>
      </c>
      <c r="G32" s="6">
        <f t="shared" ref="G32" si="4">$N$23/$N$24*E32</f>
        <v>2004.3990433283357</v>
      </c>
      <c r="H32" s="33">
        <f>F32-G32</f>
        <v>-19.845535082459037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10.270000000000001</v>
      </c>
      <c r="F33" s="56">
        <f>SUM(F24:F32)</f>
        <v>43359.184052973498</v>
      </c>
      <c r="G33" s="57">
        <f>SUM(G24:G32)</f>
        <v>93975.458193503233</v>
      </c>
      <c r="H33" s="38">
        <f>SUM(H24:H32)</f>
        <v>-50616.274140529735</v>
      </c>
      <c r="I33" s="44"/>
    </row>
    <row r="34" spans="2:15" x14ac:dyDescent="0.25">
      <c r="B34" s="17"/>
      <c r="C34" s="17"/>
      <c r="D34" s="17"/>
      <c r="E34" s="86"/>
      <c r="G34" s="82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335791.71405297349</v>
      </c>
      <c r="D37" s="223"/>
      <c r="E37" s="224">
        <f>F24+F25+F26+F27+F28+F29+F30+F32+E16</f>
        <v>239184.25405297347</v>
      </c>
      <c r="F37" s="225"/>
      <c r="G37" s="224">
        <f>F31+G16</f>
        <v>96607.46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333341.76</v>
      </c>
      <c r="D38" s="221"/>
      <c r="E38" s="220">
        <f>E17+27420.01</f>
        <v>236873.38999999998</v>
      </c>
      <c r="F38" s="221"/>
      <c r="G38" s="220">
        <f>G17+16507.03</f>
        <v>96468.37</v>
      </c>
      <c r="H38" s="251"/>
      <c r="I38" s="76"/>
      <c r="J38" s="77"/>
      <c r="K38" s="12"/>
      <c r="L38" s="9"/>
      <c r="M38" s="318"/>
    </row>
    <row r="39" spans="2:15" ht="16.5" thickBot="1" x14ac:dyDescent="0.3">
      <c r="B39" s="95" t="s">
        <v>189</v>
      </c>
      <c r="C39" s="227">
        <f>E39+G39</f>
        <v>396526.87119350326</v>
      </c>
      <c r="D39" s="228"/>
      <c r="E39" s="246">
        <f>G24+G25+G26+G27+G28+G29+G30+G32+E18</f>
        <v>249985.87119350323</v>
      </c>
      <c r="F39" s="247"/>
      <c r="G39" s="246">
        <f>G31+G18</f>
        <v>146541</v>
      </c>
      <c r="H39" s="252"/>
      <c r="I39" s="76"/>
      <c r="J39" s="77"/>
      <c r="K39" s="44"/>
      <c r="L39" s="44"/>
    </row>
    <row r="40" spans="2:15" ht="36.75" thickBot="1" x14ac:dyDescent="0.3">
      <c r="B40" s="97" t="s">
        <v>298</v>
      </c>
      <c r="C40" s="216">
        <f>E40+G40</f>
        <v>-63185.111193503253</v>
      </c>
      <c r="D40" s="217"/>
      <c r="E40" s="248">
        <f>E38-E39</f>
        <v>-13112.481193503249</v>
      </c>
      <c r="F40" s="254"/>
      <c r="G40" s="248">
        <f>G38-G39</f>
        <v>-50072.630000000005</v>
      </c>
      <c r="H40" s="249"/>
      <c r="I40" s="76"/>
      <c r="J40" s="77"/>
      <c r="K40" s="44"/>
      <c r="L40" s="44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4"/>
      <c r="M41" s="316"/>
      <c r="N41" s="316"/>
      <c r="O41" s="4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4"/>
      <c r="M42" s="316"/>
      <c r="N42" s="316"/>
      <c r="O42" s="4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9.75" customHeight="1" x14ac:dyDescent="0.25">
      <c r="E48" s="209"/>
    </row>
    <row r="49" spans="6:6" x14ac:dyDescent="0.25">
      <c r="F49" s="5"/>
    </row>
  </sheetData>
  <mergeCells count="53">
    <mergeCell ref="E38:F38"/>
    <mergeCell ref="G38:H38"/>
    <mergeCell ref="E39:F39"/>
    <mergeCell ref="G39:H39"/>
    <mergeCell ref="B35:H35"/>
    <mergeCell ref="E36:F36"/>
    <mergeCell ref="G36:H36"/>
    <mergeCell ref="E37:F37"/>
    <mergeCell ref="G37:H37"/>
    <mergeCell ref="E40:F40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C18:D18"/>
    <mergeCell ref="C19:D19"/>
    <mergeCell ref="C36:D36"/>
    <mergeCell ref="C37:D37"/>
    <mergeCell ref="C38:D38"/>
    <mergeCell ref="C39:D39"/>
    <mergeCell ref="E17:F17"/>
    <mergeCell ref="G17:H17"/>
    <mergeCell ref="E18:F18"/>
    <mergeCell ref="G18:H18"/>
    <mergeCell ref="C17:D17"/>
    <mergeCell ref="B14:H14"/>
    <mergeCell ref="E15:F15"/>
    <mergeCell ref="G15:H15"/>
    <mergeCell ref="E16:F16"/>
    <mergeCell ref="G16:H16"/>
    <mergeCell ref="C15:D15"/>
    <mergeCell ref="C16:D16"/>
    <mergeCell ref="C45:E45"/>
    <mergeCell ref="C47:E47"/>
    <mergeCell ref="N21:N22"/>
    <mergeCell ref="E19:F19"/>
    <mergeCell ref="G19:H19"/>
    <mergeCell ref="M21:M22"/>
    <mergeCell ref="F44:G44"/>
    <mergeCell ref="F41:G41"/>
    <mergeCell ref="C41:E41"/>
    <mergeCell ref="C43:E43"/>
    <mergeCell ref="F47:G47"/>
    <mergeCell ref="F45:G45"/>
    <mergeCell ref="F43:G43"/>
    <mergeCell ref="G40:H40"/>
    <mergeCell ref="C40:D40"/>
    <mergeCell ref="F42:G42"/>
  </mergeCells>
  <printOptions horizontalCentered="1"/>
  <pageMargins left="0.19685039370078741" right="0.19685039370078741" top="0.15748031496062992" bottom="0.23622047244094491" header="0.31496062992125984" footer="0.23622047244094491"/>
  <pageSetup paperSize="9" scale="4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9"/>
  <sheetViews>
    <sheetView topLeftCell="A16" zoomScale="110" zoomScaleNormal="110" workbookViewId="0">
      <selection activeCell="M16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5703125" style="5" customWidth="1"/>
    <col min="3" max="3" width="21.28515625" style="82" customWidth="1"/>
    <col min="4" max="4" width="8.42578125" style="82" customWidth="1"/>
    <col min="5" max="5" width="9.42578125" style="82" customWidth="1"/>
    <col min="6" max="6" width="10.140625" style="5" customWidth="1"/>
    <col min="7" max="7" width="10.42578125" style="5" customWidth="1"/>
    <col min="8" max="8" width="10.85546875" style="82" customWidth="1"/>
    <col min="9" max="9" width="10.7109375" style="5" bestFit="1" customWidth="1"/>
    <col min="10" max="12" width="9.140625" style="5"/>
    <col min="13" max="13" width="13.7109375" style="310" customWidth="1"/>
    <col min="14" max="14" width="13.57031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3.25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9.75" customHeight="1" x14ac:dyDescent="0.25"/>
    <row r="5" spans="1:9" x14ac:dyDescent="0.25">
      <c r="B5" s="10" t="s">
        <v>0</v>
      </c>
      <c r="C5" s="48"/>
      <c r="D5" s="234" t="s">
        <v>96</v>
      </c>
      <c r="E5" s="234"/>
    </row>
    <row r="6" spans="1:9" x14ac:dyDescent="0.25">
      <c r="B6" s="10" t="s">
        <v>1</v>
      </c>
      <c r="C6" s="48"/>
      <c r="D6" s="207">
        <v>1959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16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97</v>
      </c>
      <c r="E9" s="207"/>
    </row>
    <row r="10" spans="1:9" collapsed="1" x14ac:dyDescent="0.25">
      <c r="B10" s="10" t="s">
        <v>5</v>
      </c>
      <c r="C10" s="48"/>
      <c r="D10" s="207" t="s">
        <v>256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98</v>
      </c>
      <c r="E12" s="208"/>
      <c r="I12" s="17"/>
    </row>
    <row r="13" spans="1:9" ht="10.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7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522073.12</v>
      </c>
      <c r="D16" s="253"/>
      <c r="E16" s="224">
        <v>422930.73</v>
      </c>
      <c r="F16" s="225"/>
      <c r="G16" s="224">
        <v>99142.39</v>
      </c>
      <c r="H16" s="226"/>
      <c r="I16" s="17"/>
    </row>
    <row r="17" spans="2:15" x14ac:dyDescent="0.25">
      <c r="B17" s="94" t="s">
        <v>16</v>
      </c>
      <c r="C17" s="220">
        <v>491328.41000000003</v>
      </c>
      <c r="D17" s="221"/>
      <c r="E17" s="220">
        <v>399142.86</v>
      </c>
      <c r="F17" s="221"/>
      <c r="G17" s="220">
        <v>92185.550000000017</v>
      </c>
      <c r="H17" s="251"/>
      <c r="I17" s="17"/>
    </row>
    <row r="18" spans="2:15" ht="16.5" thickBot="1" x14ac:dyDescent="0.3">
      <c r="B18" s="95" t="s">
        <v>189</v>
      </c>
      <c r="C18" s="220">
        <v>451300.20500000002</v>
      </c>
      <c r="D18" s="221"/>
      <c r="E18" s="246">
        <v>425327.20500000002</v>
      </c>
      <c r="F18" s="247"/>
      <c r="G18" s="246">
        <v>25973</v>
      </c>
      <c r="H18" s="252"/>
      <c r="I18" s="17"/>
    </row>
    <row r="19" spans="2:15" ht="29.25" customHeight="1" thickBot="1" x14ac:dyDescent="0.3">
      <c r="B19" s="97" t="s">
        <v>297</v>
      </c>
      <c r="C19" s="216">
        <f>E19+G19</f>
        <v>40028.204999999987</v>
      </c>
      <c r="D19" s="217"/>
      <c r="E19" s="248">
        <f>E17-E18</f>
        <v>-26184.34500000003</v>
      </c>
      <c r="F19" s="254"/>
      <c r="G19" s="248">
        <f>G17-G18</f>
        <v>66212.550000000017</v>
      </c>
      <c r="H19" s="249"/>
      <c r="I19" s="17"/>
    </row>
    <row r="20" spans="2:15" ht="12.75" customHeight="1" x14ac:dyDescent="0.25">
      <c r="B20" s="14"/>
      <c r="C20" s="64"/>
      <c r="D20" s="91"/>
      <c r="E20" s="208"/>
      <c r="F20" s="82"/>
      <c r="I20" s="17"/>
    </row>
    <row r="21" spans="2:15" ht="16.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81951.13</v>
      </c>
      <c r="N23" s="314">
        <f>M23*1.01</f>
        <v>82770.641300000003</v>
      </c>
    </row>
    <row r="24" spans="2:15" ht="56.25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7495.0990336497007</v>
      </c>
      <c r="G24" s="24">
        <f>$N$23/$N$24*E24</f>
        <v>7570.0500239861967</v>
      </c>
      <c r="H24" s="25">
        <f>F24-G24</f>
        <v>-74.950990336496034</v>
      </c>
      <c r="I24" s="60"/>
      <c r="J24" s="27"/>
      <c r="K24" s="27"/>
      <c r="L24" s="28"/>
      <c r="M24" s="315">
        <f>E34-E32</f>
        <v>11.589999999999998</v>
      </c>
      <c r="N24" s="315">
        <f>E34-E32</f>
        <v>11.589999999999998</v>
      </c>
      <c r="O24" s="27"/>
    </row>
    <row r="25" spans="2:15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8414.3092924935299</v>
      </c>
      <c r="G25" s="6">
        <f>$N$23/$N$24*E25</f>
        <v>8498.4523854184645</v>
      </c>
      <c r="H25" s="25">
        <f t="shared" ref="H25:H31" si="0">F25-G25</f>
        <v>-84.143092924934535</v>
      </c>
      <c r="I25" s="61"/>
      <c r="J25" s="4"/>
      <c r="K25" s="4"/>
      <c r="L25" s="4"/>
      <c r="M25" s="316"/>
      <c r="N25" s="316"/>
      <c r="O25" s="4"/>
    </row>
    <row r="26" spans="2:15" ht="56.2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3" si="1">$M$23/$M$24*E26</f>
        <v>2262.6714063848153</v>
      </c>
      <c r="G26" s="6">
        <f t="shared" ref="G26:G30" si="2">$N$23/$N$24*E26</f>
        <v>2285.2981204486632</v>
      </c>
      <c r="H26" s="25">
        <f t="shared" si="0"/>
        <v>-22.626714063847885</v>
      </c>
      <c r="I26" s="44"/>
      <c r="L26" s="17"/>
    </row>
    <row r="27" spans="2:15" x14ac:dyDescent="0.25">
      <c r="B27" s="30" t="s">
        <v>309</v>
      </c>
      <c r="C27" s="8" t="s">
        <v>310</v>
      </c>
      <c r="D27" s="22" t="s">
        <v>201</v>
      </c>
      <c r="E27" s="99"/>
      <c r="F27" s="23"/>
      <c r="G27" s="6"/>
      <c r="H27" s="25">
        <f t="shared" si="0"/>
        <v>0</v>
      </c>
      <c r="I27" s="44"/>
      <c r="L27" s="17"/>
    </row>
    <row r="28" spans="2:15" ht="25.5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($M$23/12*2)/$M$24*E28</f>
        <v>589.23734541271222</v>
      </c>
      <c r="G28" s="6">
        <f>($N$23/12*2)/$N$24*E28</f>
        <v>595.12971886683931</v>
      </c>
      <c r="H28" s="25">
        <f t="shared" si="0"/>
        <v>-5.892373454127096</v>
      </c>
      <c r="I28" s="44"/>
      <c r="L28" s="17"/>
    </row>
    <row r="29" spans="2:15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8343.6008110440052</v>
      </c>
      <c r="G29" s="6">
        <f t="shared" si="2"/>
        <v>8427.0368191544439</v>
      </c>
      <c r="H29" s="25">
        <f t="shared" si="0"/>
        <v>-83.436008110438706</v>
      </c>
      <c r="I29" s="44"/>
    </row>
    <row r="30" spans="2:15" ht="211.5" customHeight="1" x14ac:dyDescent="0.25">
      <c r="B30" s="29" t="s">
        <v>219</v>
      </c>
      <c r="C30" s="32" t="s">
        <v>204</v>
      </c>
      <c r="D30" s="22" t="s">
        <v>201</v>
      </c>
      <c r="E30" s="99">
        <v>5.61</v>
      </c>
      <c r="F30" s="23">
        <f t="shared" si="1"/>
        <v>39667.458093183792</v>
      </c>
      <c r="G30" s="6">
        <f t="shared" si="2"/>
        <v>40064.132674115623</v>
      </c>
      <c r="H30" s="25">
        <f t="shared" si="0"/>
        <v>-396.67458093183086</v>
      </c>
      <c r="I30" s="61"/>
      <c r="J30" s="4"/>
      <c r="K30" s="4"/>
      <c r="L30" s="3"/>
      <c r="M30" s="316"/>
      <c r="N30" s="316"/>
    </row>
    <row r="31" spans="2:15" ht="102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1343.461147540984</v>
      </c>
      <c r="G31" s="6">
        <f t="shared" ref="G31" si="3">$N$23/$N$24*E31</f>
        <v>1356.8957590163936</v>
      </c>
      <c r="H31" s="25">
        <f t="shared" si="0"/>
        <v>-13.434611475409611</v>
      </c>
      <c r="I31" s="44"/>
    </row>
    <row r="32" spans="2:15" ht="56.25" x14ac:dyDescent="0.25">
      <c r="B32" s="30" t="s">
        <v>206</v>
      </c>
      <c r="C32" s="8" t="s">
        <v>223</v>
      </c>
      <c r="D32" s="22" t="s">
        <v>201</v>
      </c>
      <c r="E32" s="99">
        <v>3.19</v>
      </c>
      <c r="F32" s="23">
        <v>24183.54</v>
      </c>
      <c r="G32" s="6">
        <v>31995</v>
      </c>
      <c r="H32" s="25">
        <f>F32-G32</f>
        <v>-7811.4599999999991</v>
      </c>
      <c r="I32" s="44"/>
      <c r="L32" s="17"/>
    </row>
    <row r="33" spans="2:15" ht="16.5" thickBot="1" x14ac:dyDescent="0.3">
      <c r="B33" s="51" t="s">
        <v>186</v>
      </c>
      <c r="C33" s="52" t="s">
        <v>204</v>
      </c>
      <c r="D33" s="53" t="s">
        <v>201</v>
      </c>
      <c r="E33" s="103">
        <f>1.26+0.28</f>
        <v>1.54</v>
      </c>
      <c r="F33" s="23">
        <f t="shared" si="1"/>
        <v>10889.106143226923</v>
      </c>
      <c r="G33" s="6">
        <f t="shared" ref="G33" si="4">$N$23/$N$24*E33</f>
        <v>10997.99720465919</v>
      </c>
      <c r="H33" s="33">
        <f>F33-G33</f>
        <v>-108.89106143226672</v>
      </c>
      <c r="I33" s="44"/>
    </row>
    <row r="34" spans="2:15" ht="16.5" thickBot="1" x14ac:dyDescent="0.3">
      <c r="B34" s="54" t="s">
        <v>190</v>
      </c>
      <c r="C34" s="55"/>
      <c r="D34" s="55"/>
      <c r="E34" s="101">
        <f>SUM(E24:E33)</f>
        <v>14.779999999999998</v>
      </c>
      <c r="F34" s="56">
        <f>SUM(F24:F33)</f>
        <v>103188.48327293647</v>
      </c>
      <c r="G34" s="57">
        <f>SUM(G24:G33)</f>
        <v>111789.99270566581</v>
      </c>
      <c r="H34" s="38">
        <f>SUM(H24:H33)</f>
        <v>-8601.50943272935</v>
      </c>
      <c r="I34" s="44"/>
    </row>
    <row r="35" spans="2:15" x14ac:dyDescent="0.25">
      <c r="B35" s="17"/>
      <c r="C35" s="17"/>
      <c r="D35" s="17"/>
      <c r="E35" s="86"/>
      <c r="F35" s="82"/>
      <c r="G35" s="86"/>
      <c r="O35" s="82"/>
    </row>
    <row r="36" spans="2:15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5" ht="4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43"/>
      <c r="M37" s="317"/>
      <c r="N37" s="317"/>
    </row>
    <row r="38" spans="2:15" x14ac:dyDescent="0.25">
      <c r="B38" s="93" t="s">
        <v>15</v>
      </c>
      <c r="C38" s="222">
        <f>E38+G38</f>
        <v>625261.60327293642</v>
      </c>
      <c r="D38" s="223"/>
      <c r="E38" s="224">
        <f>F24+F25+F26+F28+F29+F30+F31+F33+E16+F27</f>
        <v>501935.67327293643</v>
      </c>
      <c r="F38" s="225"/>
      <c r="G38" s="224">
        <f>F32+G16</f>
        <v>123325.93</v>
      </c>
      <c r="H38" s="226"/>
      <c r="I38" s="76"/>
      <c r="J38" s="77"/>
      <c r="K38" s="9"/>
      <c r="L38" s="9"/>
      <c r="M38" s="318"/>
    </row>
    <row r="39" spans="2:15" x14ac:dyDescent="0.25">
      <c r="B39" s="94" t="s">
        <v>16</v>
      </c>
      <c r="C39" s="220">
        <f>E39+G39</f>
        <v>592494.67000000004</v>
      </c>
      <c r="D39" s="221"/>
      <c r="E39" s="220">
        <f>E17+78114.81</f>
        <v>477257.67</v>
      </c>
      <c r="F39" s="221"/>
      <c r="G39" s="220">
        <f>G17+23051.45</f>
        <v>115237.00000000001</v>
      </c>
      <c r="H39" s="251"/>
      <c r="I39" s="76"/>
      <c r="J39" s="77"/>
      <c r="K39" s="12"/>
      <c r="L39" s="9"/>
      <c r="M39" s="318"/>
    </row>
    <row r="40" spans="2:15" ht="16.5" thickBot="1" x14ac:dyDescent="0.3">
      <c r="B40" s="95" t="s">
        <v>189</v>
      </c>
      <c r="C40" s="227">
        <f>E40+G40</f>
        <v>563090.19770566584</v>
      </c>
      <c r="D40" s="228"/>
      <c r="E40" s="246">
        <f>G24+G25+G26+G28+G29+G30+G31+G33+E18</f>
        <v>505122.19770566584</v>
      </c>
      <c r="F40" s="247"/>
      <c r="G40" s="246">
        <f>G32+G18</f>
        <v>57968</v>
      </c>
      <c r="H40" s="252"/>
      <c r="I40" s="76"/>
      <c r="J40" s="77"/>
      <c r="K40" s="44"/>
      <c r="L40" s="44"/>
    </row>
    <row r="41" spans="2:15" ht="29.25" customHeight="1" thickBot="1" x14ac:dyDescent="0.3">
      <c r="B41" s="97" t="s">
        <v>298</v>
      </c>
      <c r="C41" s="216">
        <f>E41+G41</f>
        <v>29404.472294334162</v>
      </c>
      <c r="D41" s="217"/>
      <c r="E41" s="248">
        <f>E39-E40</f>
        <v>-27864.527705665852</v>
      </c>
      <c r="F41" s="254"/>
      <c r="G41" s="248">
        <f>G39-G40</f>
        <v>57269.000000000015</v>
      </c>
      <c r="H41" s="249"/>
      <c r="I41" s="76"/>
      <c r="J41" s="77"/>
      <c r="K41" s="44"/>
      <c r="L41" s="44"/>
    </row>
    <row r="42" spans="2:15" ht="27.75" customHeight="1" x14ac:dyDescent="0.25">
      <c r="B42" s="205" t="s">
        <v>180</v>
      </c>
      <c r="C42" s="232" t="s">
        <v>308</v>
      </c>
      <c r="D42" s="232"/>
      <c r="E42" s="232"/>
      <c r="F42" s="230" t="s">
        <v>10</v>
      </c>
      <c r="G42" s="230"/>
      <c r="H42" s="78"/>
      <c r="I42" s="78"/>
      <c r="J42" s="4"/>
      <c r="K42" s="4"/>
      <c r="L42" s="4"/>
      <c r="M42" s="316"/>
      <c r="N42" s="316"/>
      <c r="O42" s="4"/>
    </row>
    <row r="43" spans="2:15" ht="9.75" customHeight="1" x14ac:dyDescent="0.25">
      <c r="B43" s="205"/>
      <c r="C43" s="205"/>
      <c r="D43" s="205"/>
      <c r="E43" s="209"/>
      <c r="F43" s="231"/>
      <c r="G43" s="231"/>
      <c r="H43" s="78"/>
      <c r="I43" s="78"/>
      <c r="J43" s="4"/>
      <c r="K43" s="4"/>
      <c r="L43" s="4"/>
      <c r="M43" s="316"/>
      <c r="N43" s="316"/>
      <c r="O43" s="4"/>
    </row>
    <row r="44" spans="2:15" x14ac:dyDescent="0.25">
      <c r="B44" s="205" t="s">
        <v>181</v>
      </c>
      <c r="C44" s="232" t="s">
        <v>308</v>
      </c>
      <c r="D44" s="232"/>
      <c r="E44" s="232"/>
      <c r="F44" s="230" t="s">
        <v>208</v>
      </c>
      <c r="G44" s="230"/>
      <c r="H44" s="78"/>
      <c r="I44" s="78"/>
      <c r="J44" s="4"/>
      <c r="K44" s="4"/>
      <c r="L44" s="4"/>
      <c r="M44" s="316"/>
      <c r="N44" s="316"/>
      <c r="O44" s="4"/>
    </row>
    <row r="45" spans="2:15" ht="9.75" customHeight="1" x14ac:dyDescent="0.25">
      <c r="B45" s="205"/>
      <c r="C45" s="205"/>
      <c r="D45" s="205"/>
      <c r="E45" s="209"/>
      <c r="F45" s="230"/>
      <c r="G45" s="230"/>
      <c r="H45" s="78"/>
      <c r="I45" s="78"/>
    </row>
    <row r="46" spans="2:15" x14ac:dyDescent="0.25">
      <c r="B46" s="205" t="s">
        <v>182</v>
      </c>
      <c r="C46" s="232" t="s">
        <v>308</v>
      </c>
      <c r="D46" s="232"/>
      <c r="E46" s="232"/>
      <c r="F46" s="230" t="s">
        <v>209</v>
      </c>
      <c r="G46" s="230"/>
      <c r="H46" s="78"/>
      <c r="I46" s="78"/>
    </row>
    <row r="47" spans="2:15" ht="10.5" customHeight="1" x14ac:dyDescent="0.25">
      <c r="B47" s="45"/>
      <c r="C47" s="45"/>
      <c r="D47" s="45"/>
      <c r="E47" s="209"/>
      <c r="F47" s="46"/>
      <c r="G47" s="47"/>
      <c r="H47" s="48"/>
      <c r="I47" s="10"/>
    </row>
    <row r="48" spans="2:15" x14ac:dyDescent="0.25">
      <c r="B48" s="205" t="s">
        <v>183</v>
      </c>
      <c r="C48" s="232" t="s">
        <v>308</v>
      </c>
      <c r="D48" s="232"/>
      <c r="E48" s="232"/>
      <c r="F48" s="230" t="s">
        <v>209</v>
      </c>
      <c r="G48" s="230"/>
      <c r="H48" s="78"/>
      <c r="I48" s="78"/>
    </row>
    <row r="49" spans="5:6" ht="9.75" customHeight="1" x14ac:dyDescent="0.25">
      <c r="E49" s="209"/>
      <c r="F49" s="82"/>
    </row>
  </sheetData>
  <mergeCells count="54">
    <mergeCell ref="C15:D15"/>
    <mergeCell ref="C16:D16"/>
    <mergeCell ref="C17:D17"/>
    <mergeCell ref="C18:D18"/>
    <mergeCell ref="C19:D19"/>
    <mergeCell ref="C39:D39"/>
    <mergeCell ref="C40:D40"/>
    <mergeCell ref="C41:D41"/>
    <mergeCell ref="B36:H36"/>
    <mergeCell ref="E37:F37"/>
    <mergeCell ref="G37:H37"/>
    <mergeCell ref="E38:F38"/>
    <mergeCell ref="G38:H38"/>
    <mergeCell ref="C37:D37"/>
    <mergeCell ref="C38:D38"/>
    <mergeCell ref="E39:F39"/>
    <mergeCell ref="G39:H39"/>
    <mergeCell ref="G40:H40"/>
    <mergeCell ref="G41:H41"/>
    <mergeCell ref="E40:F40"/>
    <mergeCell ref="E41:F41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6:F16"/>
    <mergeCell ref="G16:H16"/>
    <mergeCell ref="E17:F17"/>
    <mergeCell ref="G17:H17"/>
    <mergeCell ref="M21:M22"/>
    <mergeCell ref="N21:N22"/>
    <mergeCell ref="E18:F18"/>
    <mergeCell ref="G18:H18"/>
    <mergeCell ref="E19:F19"/>
    <mergeCell ref="G19:H19"/>
    <mergeCell ref="C42:E42"/>
    <mergeCell ref="F42:G42"/>
    <mergeCell ref="F43:G43"/>
    <mergeCell ref="C44:E44"/>
    <mergeCell ref="F44:G44"/>
    <mergeCell ref="F45:G45"/>
    <mergeCell ref="C46:E46"/>
    <mergeCell ref="F46:G46"/>
    <mergeCell ref="C48:E48"/>
    <mergeCell ref="F48:G48"/>
  </mergeCells>
  <printOptions horizontalCentered="1"/>
  <pageMargins left="0.19685039370078741" right="0.19685039370078741" top="0.15748031496062992" bottom="0.31496062992125984" header="0.31496062992125984" footer="0.31496062992125984"/>
  <pageSetup paperSize="9" scale="5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1"/>
  <sheetViews>
    <sheetView topLeftCell="A22" zoomScale="110" zoomScaleNormal="110" workbookViewId="0">
      <selection activeCell="M22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7.28515625" style="5" customWidth="1"/>
    <col min="3" max="3" width="21.5703125" style="82" customWidth="1"/>
    <col min="4" max="4" width="9" style="82" customWidth="1"/>
    <col min="5" max="5" width="10.28515625" style="82" customWidth="1"/>
    <col min="6" max="6" width="9.42578125" style="5" customWidth="1"/>
    <col min="7" max="7" width="10.42578125" style="5" customWidth="1"/>
    <col min="8" max="8" width="10.5703125" style="5" customWidth="1"/>
    <col min="9" max="9" width="10.7109375" style="5" bestFit="1" customWidth="1"/>
    <col min="10" max="12" width="9.140625" style="5"/>
    <col min="13" max="13" width="12.7109375" style="310" customWidth="1"/>
    <col min="14" max="14" width="16.1406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1.75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15" customHeight="1" x14ac:dyDescent="0.25"/>
    <row r="5" spans="1:9" x14ac:dyDescent="0.25">
      <c r="B5" s="10" t="s">
        <v>0</v>
      </c>
      <c r="C5" s="48"/>
      <c r="D5" s="234" t="s">
        <v>99</v>
      </c>
      <c r="E5" s="234"/>
    </row>
    <row r="6" spans="1:9" x14ac:dyDescent="0.25">
      <c r="B6" s="10" t="s">
        <v>1</v>
      </c>
      <c r="C6" s="48"/>
      <c r="D6" s="207">
        <v>1960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16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100</v>
      </c>
      <c r="E9" s="207"/>
    </row>
    <row r="10" spans="1:9" collapsed="1" x14ac:dyDescent="0.25">
      <c r="B10" s="10" t="s">
        <v>5</v>
      </c>
      <c r="C10" s="48"/>
      <c r="D10" s="207" t="s">
        <v>257</v>
      </c>
      <c r="E10" s="207"/>
      <c r="I10" s="17"/>
    </row>
    <row r="11" spans="1:9" ht="15.75" hidden="1" customHeight="1" outlineLevel="1" x14ac:dyDescent="0.25">
      <c r="B11" s="5" t="s">
        <v>6</v>
      </c>
      <c r="D11" s="208" t="s">
        <v>13</v>
      </c>
      <c r="E11" s="208"/>
    </row>
    <row r="12" spans="1:9" ht="19.5" hidden="1" customHeight="1" outlineLevel="1" x14ac:dyDescent="0.25">
      <c r="B12" s="14" t="s">
        <v>7</v>
      </c>
      <c r="C12" s="79"/>
      <c r="D12" s="91" t="s">
        <v>101</v>
      </c>
      <c r="E12" s="208"/>
      <c r="I12" s="17"/>
    </row>
    <row r="13" spans="1:9" ht="9.7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39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648921.9</v>
      </c>
      <c r="D16" s="253"/>
      <c r="E16" s="224">
        <v>543628.25</v>
      </c>
      <c r="F16" s="225"/>
      <c r="G16" s="224">
        <v>105293.65</v>
      </c>
      <c r="H16" s="226"/>
      <c r="I16" s="17"/>
    </row>
    <row r="17" spans="2:15" x14ac:dyDescent="0.25">
      <c r="B17" s="94" t="s">
        <v>16</v>
      </c>
      <c r="C17" s="220">
        <v>575619.92999999993</v>
      </c>
      <c r="D17" s="221"/>
      <c r="E17" s="220">
        <v>483001.12</v>
      </c>
      <c r="F17" s="221"/>
      <c r="G17" s="220">
        <v>92618.81</v>
      </c>
      <c r="H17" s="251"/>
      <c r="I17" s="17"/>
    </row>
    <row r="18" spans="2:15" x14ac:dyDescent="0.25">
      <c r="B18" s="95" t="s">
        <v>189</v>
      </c>
      <c r="C18" s="220">
        <v>654102.47880000004</v>
      </c>
      <c r="D18" s="221"/>
      <c r="E18" s="246">
        <v>532310.47880000004</v>
      </c>
      <c r="F18" s="247"/>
      <c r="G18" s="246">
        <v>121792</v>
      </c>
      <c r="H18" s="252"/>
      <c r="I18" s="17"/>
    </row>
    <row r="19" spans="2:15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5" ht="31.5" customHeight="1" thickBot="1" x14ac:dyDescent="0.3">
      <c r="B20" s="97" t="s">
        <v>297</v>
      </c>
      <c r="C20" s="216">
        <f>E20+G20</f>
        <v>-67682.548800000048</v>
      </c>
      <c r="D20" s="217"/>
      <c r="E20" s="248">
        <f>E17+E19-E18</f>
        <v>-38509.358800000045</v>
      </c>
      <c r="F20" s="254"/>
      <c r="G20" s="248">
        <f>G17-G18</f>
        <v>-29173.190000000002</v>
      </c>
      <c r="H20" s="249"/>
      <c r="I20" s="17"/>
    </row>
    <row r="21" spans="2:15" ht="19.5" customHeight="1" x14ac:dyDescent="0.25">
      <c r="B21" s="14"/>
      <c r="C21" s="64"/>
      <c r="D21" s="91"/>
      <c r="E21" s="208"/>
      <c r="F21" s="82"/>
      <c r="H21" s="82"/>
      <c r="I21" s="17"/>
    </row>
    <row r="22" spans="2:15" ht="17.2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L22" s="17"/>
      <c r="M22" s="312" t="s">
        <v>301</v>
      </c>
      <c r="N22" s="312" t="s">
        <v>302</v>
      </c>
    </row>
    <row r="23" spans="2:15" ht="32.25" customHeight="1" x14ac:dyDescent="0.25">
      <c r="B23" s="263" t="s">
        <v>196</v>
      </c>
      <c r="C23" s="237" t="s">
        <v>197</v>
      </c>
      <c r="D23" s="237" t="s">
        <v>210</v>
      </c>
      <c r="E23" s="239" t="s">
        <v>325</v>
      </c>
      <c r="F23" s="241" t="s">
        <v>199</v>
      </c>
      <c r="G23" s="242"/>
      <c r="H23" s="243" t="s">
        <v>227</v>
      </c>
      <c r="L23" s="17"/>
      <c r="M23" s="313"/>
      <c r="N23" s="313"/>
    </row>
    <row r="24" spans="2:15" ht="53.25" customHeight="1" thickBot="1" x14ac:dyDescent="0.3">
      <c r="B24" s="264"/>
      <c r="C24" s="238"/>
      <c r="D24" s="238"/>
      <c r="E24" s="240"/>
      <c r="F24" s="19" t="s">
        <v>187</v>
      </c>
      <c r="G24" s="20" t="s">
        <v>188</v>
      </c>
      <c r="H24" s="244"/>
      <c r="M24" s="314">
        <v>107470.62</v>
      </c>
      <c r="N24" s="314">
        <f>M24*1.01</f>
        <v>108545.3262</v>
      </c>
    </row>
    <row r="25" spans="2:15" ht="56.25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7584.4778428761656</v>
      </c>
      <c r="G25" s="24">
        <f>$N$24/$N$25*E25</f>
        <v>7660.3226213049275</v>
      </c>
      <c r="H25" s="25">
        <f>F25-G25</f>
        <v>-75.844778428761856</v>
      </c>
      <c r="I25" s="60"/>
      <c r="J25" s="27"/>
      <c r="K25" s="27"/>
      <c r="L25" s="28"/>
      <c r="M25" s="315">
        <f>E34-E32</f>
        <v>15.02</v>
      </c>
      <c r="N25" s="315">
        <f>E34-E32</f>
        <v>15.02</v>
      </c>
      <c r="O25" s="27"/>
    </row>
    <row r="26" spans="2:15" ht="56.25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8514.6496537949406</v>
      </c>
      <c r="G26" s="6">
        <f>$N$24/$N$25*E26</f>
        <v>8599.7961503328897</v>
      </c>
      <c r="H26" s="25">
        <f t="shared" ref="H26:H31" si="0">F26-G26</f>
        <v>-85.146496537949133</v>
      </c>
      <c r="I26" s="61"/>
      <c r="J26" s="4"/>
      <c r="K26" s="4"/>
      <c r="L26" s="4"/>
      <c r="M26" s="316"/>
      <c r="N26" s="316"/>
      <c r="O26" s="4"/>
    </row>
    <row r="27" spans="2:15" ht="56.25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2289.6536884154461</v>
      </c>
      <c r="G27" s="6">
        <f t="shared" ref="G27:G30" si="2">$N$24/$N$25*E27</f>
        <v>2312.5502252996007</v>
      </c>
      <c r="H27" s="25">
        <f t="shared" si="0"/>
        <v>-22.896536884154557</v>
      </c>
      <c r="I27" s="44"/>
      <c r="L27" s="17"/>
    </row>
    <row r="28" spans="2:15" ht="25.5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596.26398135818908</v>
      </c>
      <c r="G28" s="6">
        <f>($N$24/12*2)/$N$25*E28</f>
        <v>602.22662117177094</v>
      </c>
      <c r="H28" s="25">
        <f t="shared" si="0"/>
        <v>-5.962639813581859</v>
      </c>
      <c r="I28" s="44"/>
      <c r="L28" s="17"/>
    </row>
    <row r="29" spans="2:15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8443.0979760319569</v>
      </c>
      <c r="G29" s="6">
        <f t="shared" si="2"/>
        <v>8527.528955792277</v>
      </c>
      <c r="H29" s="25">
        <f t="shared" si="0"/>
        <v>-84.430979760320042</v>
      </c>
      <c r="I29" s="44"/>
    </row>
    <row r="30" spans="2:15" ht="221.25" customHeight="1" x14ac:dyDescent="0.25">
      <c r="B30" s="29" t="s">
        <v>219</v>
      </c>
      <c r="C30" s="32" t="s">
        <v>204</v>
      </c>
      <c r="D30" s="22" t="s">
        <v>201</v>
      </c>
      <c r="E30" s="99">
        <v>5.61</v>
      </c>
      <c r="F30" s="23">
        <f t="shared" si="1"/>
        <v>40140.491225033293</v>
      </c>
      <c r="G30" s="6">
        <f t="shared" si="2"/>
        <v>40541.896137283627</v>
      </c>
      <c r="H30" s="25">
        <f t="shared" si="0"/>
        <v>-401.40491225033475</v>
      </c>
      <c r="I30" s="61"/>
      <c r="J30" s="4"/>
      <c r="K30" s="4"/>
      <c r="L30" s="3"/>
      <c r="M30" s="316"/>
      <c r="N30" s="316"/>
    </row>
    <row r="31" spans="2:15" ht="121.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1359.4818774966711</v>
      </c>
      <c r="G31" s="6">
        <f t="shared" ref="G31" si="3">$N$24/$N$25*E31</f>
        <v>1373.076696271638</v>
      </c>
      <c r="H31" s="25">
        <f t="shared" si="0"/>
        <v>-13.594818774966825</v>
      </c>
      <c r="I31" s="44"/>
    </row>
    <row r="32" spans="2:15" ht="56.25" x14ac:dyDescent="0.25">
      <c r="B32" s="30" t="s">
        <v>206</v>
      </c>
      <c r="C32" s="8" t="s">
        <v>223</v>
      </c>
      <c r="D32" s="22" t="s">
        <v>201</v>
      </c>
      <c r="E32" s="99">
        <v>0.75</v>
      </c>
      <c r="F32" s="23">
        <v>5668.28</v>
      </c>
      <c r="G32" s="6">
        <v>11850</v>
      </c>
      <c r="H32" s="25">
        <f>F32-G32</f>
        <v>-6181.72</v>
      </c>
      <c r="I32" s="44"/>
      <c r="L32" s="17"/>
    </row>
    <row r="33" spans="2:15" ht="16.5" thickBot="1" x14ac:dyDescent="0.3">
      <c r="B33" s="51" t="s">
        <v>186</v>
      </c>
      <c r="C33" s="52" t="s">
        <v>204</v>
      </c>
      <c r="D33" s="53" t="s">
        <v>201</v>
      </c>
      <c r="E33" s="103">
        <f>5.86-0.89</f>
        <v>4.9700000000000006</v>
      </c>
      <c r="F33" s="23">
        <f t="shared" si="1"/>
        <v>35561.183848202403</v>
      </c>
      <c r="G33" s="6">
        <f t="shared" ref="G33" si="4">$N$24/$N$25*E33</f>
        <v>35916.795686684425</v>
      </c>
      <c r="H33" s="33">
        <f>F33-G33</f>
        <v>-355.61183848202199</v>
      </c>
      <c r="I33" s="44"/>
    </row>
    <row r="34" spans="2:15" ht="16.5" thickBot="1" x14ac:dyDescent="0.3">
      <c r="B34" s="54" t="s">
        <v>190</v>
      </c>
      <c r="C34" s="55"/>
      <c r="D34" s="55"/>
      <c r="E34" s="101">
        <f>SUM(E25:E33)</f>
        <v>15.77</v>
      </c>
      <c r="F34" s="56">
        <f>SUM(F25:F33)</f>
        <v>110157.58009320906</v>
      </c>
      <c r="G34" s="57">
        <f>SUM(G25:G33)</f>
        <v>117384.19309414117</v>
      </c>
      <c r="H34" s="38">
        <f>SUM(H25:H33)</f>
        <v>-7226.6130009320914</v>
      </c>
      <c r="I34" s="44"/>
    </row>
    <row r="35" spans="2:15" x14ac:dyDescent="0.25">
      <c r="B35" s="17"/>
      <c r="C35" s="17"/>
      <c r="D35" s="17"/>
      <c r="E35" s="86"/>
      <c r="F35" s="82"/>
      <c r="G35" s="86"/>
      <c r="H35" s="82"/>
      <c r="O35" s="82"/>
    </row>
    <row r="36" spans="2:15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5" ht="39.7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43"/>
      <c r="M37" s="317"/>
      <c r="N37" s="317"/>
    </row>
    <row r="38" spans="2:15" x14ac:dyDescent="0.25">
      <c r="B38" s="93" t="s">
        <v>15</v>
      </c>
      <c r="C38" s="222">
        <f>E38+G38</f>
        <v>759079.48009320907</v>
      </c>
      <c r="D38" s="223"/>
      <c r="E38" s="224">
        <f>F25+F26+F27+F28+F29+F30+F31+F33+E16</f>
        <v>648117.55009320902</v>
      </c>
      <c r="F38" s="225"/>
      <c r="G38" s="224">
        <f>F32+G16</f>
        <v>110961.93</v>
      </c>
      <c r="H38" s="226"/>
      <c r="I38" s="76"/>
      <c r="J38" s="77"/>
      <c r="K38" s="9"/>
      <c r="L38" s="9"/>
      <c r="M38" s="318"/>
    </row>
    <row r="39" spans="2:15" x14ac:dyDescent="0.25">
      <c r="B39" s="94" t="s">
        <v>16</v>
      </c>
      <c r="C39" s="220">
        <f>E39+G39</f>
        <v>673304.47</v>
      </c>
      <c r="D39" s="221"/>
      <c r="E39" s="220">
        <f>E17+92790.52</f>
        <v>575791.64</v>
      </c>
      <c r="F39" s="221"/>
      <c r="G39" s="220">
        <f>G17+4894.02</f>
        <v>97512.83</v>
      </c>
      <c r="H39" s="251"/>
      <c r="I39" s="76"/>
      <c r="J39" s="77"/>
      <c r="K39" s="12"/>
      <c r="L39" s="9"/>
      <c r="M39" s="318"/>
    </row>
    <row r="40" spans="2:15" x14ac:dyDescent="0.25">
      <c r="B40" s="95" t="s">
        <v>189</v>
      </c>
      <c r="C40" s="220">
        <f>E40+G40</f>
        <v>771486.67189414124</v>
      </c>
      <c r="D40" s="221"/>
      <c r="E40" s="246">
        <f>G25+G26+G27+G28+G29+G30+G31+G33+E18</f>
        <v>637844.67189414124</v>
      </c>
      <c r="F40" s="247"/>
      <c r="G40" s="246">
        <f>G32+G18</f>
        <v>133642</v>
      </c>
      <c r="H40" s="252"/>
      <c r="I40" s="76"/>
      <c r="J40" s="77"/>
      <c r="K40" s="44"/>
      <c r="L40" s="44"/>
    </row>
    <row r="41" spans="2:15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76"/>
      <c r="J41" s="77"/>
      <c r="K41" s="44"/>
      <c r="L41" s="44"/>
    </row>
    <row r="42" spans="2:15" ht="29.25" customHeight="1" thickBot="1" x14ac:dyDescent="0.3">
      <c r="B42" s="97" t="s">
        <v>298</v>
      </c>
      <c r="C42" s="216">
        <f>E42+G42</f>
        <v>-83782.201894141224</v>
      </c>
      <c r="D42" s="217"/>
      <c r="E42" s="248">
        <f>E39+E41-E40</f>
        <v>-47653.031894141226</v>
      </c>
      <c r="F42" s="254"/>
      <c r="G42" s="248">
        <f>G39-G40</f>
        <v>-36129.17</v>
      </c>
      <c r="H42" s="249"/>
      <c r="I42" s="76"/>
      <c r="J42" s="77"/>
      <c r="K42" s="44"/>
      <c r="L42" s="44"/>
    </row>
    <row r="43" spans="2:15" ht="27.7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1"/>
      <c r="G44" s="231"/>
      <c r="H44" s="78"/>
      <c r="I44" s="78"/>
      <c r="J44" s="4"/>
      <c r="K44" s="4"/>
      <c r="L44" s="4"/>
      <c r="M44" s="316"/>
      <c r="N44" s="316"/>
      <c r="O44" s="4"/>
    </row>
    <row r="45" spans="2:15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78"/>
      <c r="I45" s="78"/>
      <c r="J45" s="4"/>
      <c r="K45" s="4"/>
      <c r="L45" s="4"/>
      <c r="M45" s="316"/>
      <c r="N45" s="316"/>
      <c r="O45" s="4"/>
    </row>
    <row r="46" spans="2:15" ht="9.75" customHeight="1" x14ac:dyDescent="0.25">
      <c r="B46" s="205"/>
      <c r="C46" s="205"/>
      <c r="D46" s="205"/>
      <c r="E46" s="209"/>
      <c r="F46" s="230"/>
      <c r="G46" s="230"/>
      <c r="H46" s="78"/>
      <c r="I46" s="78"/>
    </row>
    <row r="47" spans="2:15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0.5" customHeight="1" x14ac:dyDescent="0.25">
      <c r="B48" s="45"/>
      <c r="C48" s="45"/>
      <c r="D48" s="45"/>
      <c r="E48" s="209"/>
      <c r="F48" s="46"/>
      <c r="G48" s="47"/>
      <c r="H48" s="48"/>
      <c r="I48" s="10"/>
    </row>
    <row r="49" spans="2:9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78"/>
      <c r="I49" s="78"/>
    </row>
    <row r="50" spans="2:9" ht="10.5" customHeight="1" x14ac:dyDescent="0.25">
      <c r="E50" s="209"/>
      <c r="F50" s="82"/>
      <c r="H50" s="82"/>
    </row>
    <row r="51" spans="2:9" x14ac:dyDescent="0.25">
      <c r="H51" s="82"/>
    </row>
  </sheetData>
  <mergeCells count="60">
    <mergeCell ref="C40:D40"/>
    <mergeCell ref="C19:D19"/>
    <mergeCell ref="C20:D20"/>
    <mergeCell ref="C38:D38"/>
    <mergeCell ref="C37:D37"/>
    <mergeCell ref="C39:D39"/>
    <mergeCell ref="F49:G49"/>
    <mergeCell ref="F47:G47"/>
    <mergeCell ref="F45:G45"/>
    <mergeCell ref="F46:G46"/>
    <mergeCell ref="F44:G44"/>
    <mergeCell ref="G42:H42"/>
    <mergeCell ref="F43:G43"/>
    <mergeCell ref="E42:F42"/>
    <mergeCell ref="E41:F41"/>
    <mergeCell ref="G41:H41"/>
    <mergeCell ref="C43:E43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E16:F16"/>
    <mergeCell ref="G16:H16"/>
    <mergeCell ref="E17:F17"/>
    <mergeCell ref="G17:H17"/>
    <mergeCell ref="D5:E5"/>
    <mergeCell ref="N22:N23"/>
    <mergeCell ref="E20:F20"/>
    <mergeCell ref="G20:H20"/>
    <mergeCell ref="M22:M23"/>
    <mergeCell ref="B14:H14"/>
    <mergeCell ref="E15:F15"/>
    <mergeCell ref="G15:H15"/>
    <mergeCell ref="E18:F18"/>
    <mergeCell ref="G18:H18"/>
    <mergeCell ref="C15:D15"/>
    <mergeCell ref="C16:D16"/>
    <mergeCell ref="C17:D17"/>
    <mergeCell ref="C18:D18"/>
    <mergeCell ref="C45:E45"/>
    <mergeCell ref="C47:E47"/>
    <mergeCell ref="C49:E49"/>
    <mergeCell ref="E19:F19"/>
    <mergeCell ref="G19:H19"/>
    <mergeCell ref="E39:F39"/>
    <mergeCell ref="G39:H39"/>
    <mergeCell ref="B36:H36"/>
    <mergeCell ref="E37:F37"/>
    <mergeCell ref="G37:H37"/>
    <mergeCell ref="E38:F38"/>
    <mergeCell ref="G38:H38"/>
    <mergeCell ref="C41:D41"/>
    <mergeCell ref="C42:D42"/>
    <mergeCell ref="E40:F40"/>
    <mergeCell ref="G40:H40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5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0"/>
  <sheetViews>
    <sheetView topLeftCell="A27" zoomScale="110" zoomScaleNormal="110" workbookViewId="0">
      <selection activeCell="M27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5.7109375" style="5" customWidth="1"/>
    <col min="3" max="3" width="22.42578125" style="82" customWidth="1"/>
    <col min="4" max="4" width="9.5703125" style="82" customWidth="1"/>
    <col min="5" max="5" width="10.28515625" style="82" customWidth="1"/>
    <col min="6" max="6" width="9.85546875" style="5" customWidth="1"/>
    <col min="7" max="8" width="10.42578125" style="5" customWidth="1"/>
    <col min="9" max="9" width="10.7109375" style="5" bestFit="1" customWidth="1"/>
    <col min="10" max="12" width="9.140625" style="5"/>
    <col min="13" max="13" width="14.5703125" style="310" customWidth="1"/>
    <col min="14" max="14" width="13.285156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6.25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15" customHeight="1" x14ac:dyDescent="0.25"/>
    <row r="5" spans="1:9" x14ac:dyDescent="0.25">
      <c r="B5" s="10" t="s">
        <v>0</v>
      </c>
      <c r="C5" s="48"/>
      <c r="D5" s="234" t="s">
        <v>102</v>
      </c>
      <c r="E5" s="234"/>
    </row>
    <row r="6" spans="1:9" x14ac:dyDescent="0.25">
      <c r="B6" s="10" t="s">
        <v>1</v>
      </c>
      <c r="C6" s="48"/>
      <c r="D6" s="207">
        <v>1960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8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103</v>
      </c>
      <c r="E9" s="207"/>
    </row>
    <row r="10" spans="1:9" collapsed="1" x14ac:dyDescent="0.25">
      <c r="B10" s="10" t="s">
        <v>5</v>
      </c>
      <c r="C10" s="48"/>
      <c r="D10" s="207" t="s">
        <v>258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104</v>
      </c>
      <c r="E12" s="208"/>
      <c r="I12" s="17"/>
    </row>
    <row r="13" spans="1:9" ht="12" customHeight="1" collapsed="1" x14ac:dyDescent="0.25">
      <c r="B13" s="14"/>
      <c r="C13" s="79"/>
      <c r="D13" s="91"/>
      <c r="E13" s="208"/>
      <c r="I13" s="17"/>
    </row>
    <row r="14" spans="1:9" ht="16.5" customHeight="1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393752.68</v>
      </c>
      <c r="D16" s="253"/>
      <c r="E16" s="224">
        <v>271762.63</v>
      </c>
      <c r="F16" s="225"/>
      <c r="G16" s="224">
        <v>121990.04999999999</v>
      </c>
      <c r="H16" s="226"/>
      <c r="I16" s="17"/>
    </row>
    <row r="17" spans="2:15" x14ac:dyDescent="0.25">
      <c r="B17" s="94" t="s">
        <v>16</v>
      </c>
      <c r="C17" s="220">
        <v>391604.66999999993</v>
      </c>
      <c r="D17" s="221"/>
      <c r="E17" s="220">
        <v>270352.56999999995</v>
      </c>
      <c r="F17" s="221"/>
      <c r="G17" s="220">
        <v>121252.09999999999</v>
      </c>
      <c r="H17" s="251"/>
      <c r="I17" s="17"/>
    </row>
    <row r="18" spans="2:15" ht="16.5" thickBot="1" x14ac:dyDescent="0.3">
      <c r="B18" s="95" t="s">
        <v>189</v>
      </c>
      <c r="C18" s="220">
        <v>377813.33500000002</v>
      </c>
      <c r="D18" s="221"/>
      <c r="E18" s="246">
        <v>280914.33500000002</v>
      </c>
      <c r="F18" s="247"/>
      <c r="G18" s="246">
        <v>96899</v>
      </c>
      <c r="H18" s="252"/>
      <c r="I18" s="17"/>
    </row>
    <row r="19" spans="2:15" ht="35.25" customHeight="1" thickBot="1" x14ac:dyDescent="0.3">
      <c r="B19" s="97" t="s">
        <v>297</v>
      </c>
      <c r="C19" s="216">
        <f>E19+G19</f>
        <v>13791.334999999919</v>
      </c>
      <c r="D19" s="217"/>
      <c r="E19" s="248">
        <f>E17-E18</f>
        <v>-10561.765000000072</v>
      </c>
      <c r="F19" s="254"/>
      <c r="G19" s="248">
        <f>G17-G18</f>
        <v>24353.099999999991</v>
      </c>
      <c r="H19" s="249"/>
      <c r="I19" s="17"/>
    </row>
    <row r="20" spans="2:15" x14ac:dyDescent="0.25">
      <c r="B20" s="14"/>
      <c r="C20" s="79"/>
      <c r="D20" s="91"/>
      <c r="E20" s="208"/>
      <c r="I20" s="17"/>
    </row>
    <row r="21" spans="2:15" ht="21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45603.74</v>
      </c>
      <c r="N23" s="314">
        <f>M23*1.01</f>
        <v>46059.777399999999</v>
      </c>
    </row>
    <row r="24" spans="2:15" ht="56.25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4471.7820906567995</v>
      </c>
      <c r="G24" s="24">
        <f>$N$23/$N$24*E24</f>
        <v>4516.4999115633682</v>
      </c>
      <c r="H24" s="25">
        <f>F24-G24</f>
        <v>-44.717820906568704</v>
      </c>
      <c r="I24" s="60"/>
      <c r="J24" s="27"/>
      <c r="K24" s="27"/>
      <c r="L24" s="28"/>
      <c r="M24" s="315">
        <f>E34-E32</f>
        <v>10.809999999999999</v>
      </c>
      <c r="N24" s="315">
        <f>E34-E32</f>
        <v>10.809999999999999</v>
      </c>
      <c r="O24" s="27"/>
    </row>
    <row r="25" spans="2:15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5020.2081961147087</v>
      </c>
      <c r="G25" s="6">
        <f>$N$23/$N$24*E25</f>
        <v>5070.4102780758567</v>
      </c>
      <c r="H25" s="25">
        <f t="shared" ref="H25:H31" si="0">F25-G25</f>
        <v>-50.202081961147996</v>
      </c>
      <c r="I25" s="61"/>
      <c r="J25" s="4"/>
      <c r="K25" s="4"/>
      <c r="L25" s="4"/>
      <c r="M25" s="316"/>
      <c r="N25" s="316"/>
      <c r="O25" s="4"/>
    </row>
    <row r="26" spans="2:15" ht="56.2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3" si="1">$M$23/$M$24*E26</f>
        <v>1349.9719518963923</v>
      </c>
      <c r="G26" s="6">
        <f t="shared" ref="G26:G30" si="2">$N$23/$N$24*E26</f>
        <v>1363.4716714153565</v>
      </c>
      <c r="H26" s="25">
        <f t="shared" si="0"/>
        <v>-13.499719518964184</v>
      </c>
      <c r="I26" s="44"/>
      <c r="L26" s="17"/>
    </row>
    <row r="27" spans="2:15" x14ac:dyDescent="0.25">
      <c r="B27" s="30" t="s">
        <v>309</v>
      </c>
      <c r="C27" s="8" t="s">
        <v>310</v>
      </c>
      <c r="D27" s="22" t="s">
        <v>201</v>
      </c>
      <c r="E27" s="99">
        <v>0</v>
      </c>
      <c r="F27" s="23">
        <v>0</v>
      </c>
      <c r="G27" s="6"/>
      <c r="H27" s="25">
        <f t="shared" si="0"/>
        <v>0</v>
      </c>
      <c r="I27" s="44"/>
      <c r="L27" s="17"/>
    </row>
    <row r="28" spans="2:15" ht="25.5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($M$23/12*2)/$M$24*E28</f>
        <v>351.55519580635217</v>
      </c>
      <c r="G28" s="6">
        <f>($N$23/12*2)/$N$24*E28</f>
        <v>355.07074776441567</v>
      </c>
      <c r="H28" s="25">
        <f t="shared" si="0"/>
        <v>-3.5155519580634973</v>
      </c>
      <c r="I28" s="44"/>
      <c r="L28" s="17"/>
    </row>
    <row r="29" spans="2:15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4978.0215726179458</v>
      </c>
      <c r="G29" s="6">
        <f t="shared" si="2"/>
        <v>5027.8017883441262</v>
      </c>
      <c r="H29" s="25">
        <f t="shared" si="0"/>
        <v>-49.780215726180359</v>
      </c>
      <c r="I29" s="44"/>
    </row>
    <row r="30" spans="2:15" ht="226.5" customHeight="1" x14ac:dyDescent="0.25">
      <c r="B30" s="29" t="s">
        <v>219</v>
      </c>
      <c r="C30" s="32" t="s">
        <v>204</v>
      </c>
      <c r="D30" s="22" t="s">
        <v>201</v>
      </c>
      <c r="E30" s="99">
        <v>5.61</v>
      </c>
      <c r="F30" s="23">
        <f t="shared" si="1"/>
        <v>23666.695781683629</v>
      </c>
      <c r="G30" s="6">
        <f t="shared" si="2"/>
        <v>23903.36273950047</v>
      </c>
      <c r="H30" s="25">
        <f t="shared" si="0"/>
        <v>-236.66695781684029</v>
      </c>
      <c r="I30" s="61"/>
      <c r="J30" s="4"/>
      <c r="K30" s="4"/>
      <c r="L30" s="3"/>
      <c r="M30" s="316"/>
      <c r="N30" s="316"/>
    </row>
    <row r="31" spans="2:15" ht="102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801.54584643848295</v>
      </c>
      <c r="G31" s="6">
        <f t="shared" ref="G31" si="3">$N$23/$N$24*E31</f>
        <v>809.56130490286785</v>
      </c>
      <c r="H31" s="25">
        <f t="shared" si="0"/>
        <v>-8.0154584643848921</v>
      </c>
      <c r="I31" s="44"/>
    </row>
    <row r="32" spans="2:15" ht="56.25" x14ac:dyDescent="0.25">
      <c r="B32" s="30" t="s">
        <v>206</v>
      </c>
      <c r="C32" s="8" t="s">
        <v>223</v>
      </c>
      <c r="D32" s="22" t="s">
        <v>201</v>
      </c>
      <c r="E32" s="99">
        <v>5.16</v>
      </c>
      <c r="F32" s="23">
        <v>23508.02</v>
      </c>
      <c r="G32" s="6">
        <v>25415</v>
      </c>
      <c r="H32" s="25">
        <f>F32-G32</f>
        <v>-1906.9799999999996</v>
      </c>
      <c r="I32" s="44"/>
      <c r="L32" s="17"/>
    </row>
    <row r="33" spans="2:15" ht="16.5" thickBot="1" x14ac:dyDescent="0.3">
      <c r="B33" s="51" t="s">
        <v>186</v>
      </c>
      <c r="C33" s="52" t="s">
        <v>204</v>
      </c>
      <c r="D33" s="53" t="s">
        <v>201</v>
      </c>
      <c r="E33" s="103">
        <v>0.76</v>
      </c>
      <c r="F33" s="23">
        <f t="shared" si="1"/>
        <v>3206.1833857539318</v>
      </c>
      <c r="G33" s="6">
        <f t="shared" ref="G33" si="4">$N$23/$N$24*E33</f>
        <v>3238.2452196114714</v>
      </c>
      <c r="H33" s="33">
        <f>F33-G33</f>
        <v>-32.061833857539568</v>
      </c>
      <c r="I33" s="44"/>
    </row>
    <row r="34" spans="2:15" ht="16.5" thickBot="1" x14ac:dyDescent="0.3">
      <c r="B34" s="54" t="s">
        <v>190</v>
      </c>
      <c r="C34" s="55"/>
      <c r="D34" s="55"/>
      <c r="E34" s="101">
        <f>SUM(E24:E33)</f>
        <v>15.969999999999999</v>
      </c>
      <c r="F34" s="56">
        <f>SUM(F24:F33)</f>
        <v>67353.984020968244</v>
      </c>
      <c r="G34" s="57">
        <f>SUM(G24:G33)</f>
        <v>69699.423661177934</v>
      </c>
      <c r="H34" s="38">
        <f>SUM(H24:H33)</f>
        <v>-2345.4396402096891</v>
      </c>
      <c r="I34" s="44"/>
    </row>
    <row r="35" spans="2:15" x14ac:dyDescent="0.25">
      <c r="B35" s="17"/>
      <c r="C35" s="17"/>
      <c r="D35" s="17"/>
      <c r="E35" s="86"/>
      <c r="F35" s="82"/>
      <c r="G35" s="86"/>
      <c r="H35" s="82"/>
      <c r="O35" s="82"/>
    </row>
    <row r="36" spans="2:15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5" ht="43.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43"/>
      <c r="M37" s="317"/>
      <c r="N37" s="317"/>
    </row>
    <row r="38" spans="2:15" x14ac:dyDescent="0.25">
      <c r="B38" s="93" t="s">
        <v>15</v>
      </c>
      <c r="C38" s="222">
        <f>E38+G38</f>
        <v>461106.66402096825</v>
      </c>
      <c r="D38" s="223"/>
      <c r="E38" s="224">
        <f>F24+F25+F26+F28+F29+F30+F31+F33+E16</f>
        <v>315608.59402096824</v>
      </c>
      <c r="F38" s="225"/>
      <c r="G38" s="224">
        <f>F32+G16</f>
        <v>145498.06999999998</v>
      </c>
      <c r="H38" s="226"/>
      <c r="I38" s="76"/>
      <c r="J38" s="77"/>
      <c r="K38" s="9"/>
      <c r="L38" s="9"/>
      <c r="M38" s="318"/>
    </row>
    <row r="39" spans="2:15" x14ac:dyDescent="0.25">
      <c r="B39" s="94" t="s">
        <v>16</v>
      </c>
      <c r="C39" s="220">
        <f>E39+G39</f>
        <v>459594.99999999994</v>
      </c>
      <c r="D39" s="221"/>
      <c r="E39" s="220">
        <f>E17+44863.76</f>
        <v>315216.32999999996</v>
      </c>
      <c r="F39" s="221"/>
      <c r="G39" s="220">
        <f>G17+23126.57</f>
        <v>144378.66999999998</v>
      </c>
      <c r="H39" s="251"/>
      <c r="I39" s="76"/>
      <c r="J39" s="77"/>
      <c r="K39" s="12"/>
      <c r="L39" s="9"/>
      <c r="M39" s="318"/>
    </row>
    <row r="40" spans="2:15" ht="16.5" thickBot="1" x14ac:dyDescent="0.3">
      <c r="B40" s="95" t="s">
        <v>189</v>
      </c>
      <c r="C40" s="227">
        <f>E40+G40</f>
        <v>447512.75866117794</v>
      </c>
      <c r="D40" s="228"/>
      <c r="E40" s="246">
        <f>G24+G25+G26+G28+G29+G30+G31+G33+E18+G27</f>
        <v>325198.75866117794</v>
      </c>
      <c r="F40" s="247"/>
      <c r="G40" s="246">
        <f>G32+G18</f>
        <v>122314</v>
      </c>
      <c r="H40" s="252"/>
      <c r="I40" s="76"/>
      <c r="J40" s="77"/>
      <c r="K40" s="44"/>
      <c r="L40" s="44"/>
    </row>
    <row r="41" spans="2:15" ht="30" customHeight="1" thickBot="1" x14ac:dyDescent="0.3">
      <c r="B41" s="97" t="s">
        <v>298</v>
      </c>
      <c r="C41" s="216">
        <f>E41+G41</f>
        <v>12082.241338822001</v>
      </c>
      <c r="D41" s="217"/>
      <c r="E41" s="248">
        <f>E39-E40</f>
        <v>-9982.4286611779826</v>
      </c>
      <c r="F41" s="254"/>
      <c r="G41" s="248">
        <f>G39-G40</f>
        <v>22064.669999999984</v>
      </c>
      <c r="H41" s="249"/>
      <c r="I41" s="76"/>
      <c r="J41" s="77"/>
      <c r="K41" s="44"/>
      <c r="L41" s="44"/>
    </row>
    <row r="42" spans="2:15" ht="27.75" customHeight="1" x14ac:dyDescent="0.25">
      <c r="B42" s="205" t="s">
        <v>180</v>
      </c>
      <c r="C42" s="232" t="s">
        <v>308</v>
      </c>
      <c r="D42" s="232"/>
      <c r="E42" s="232"/>
      <c r="F42" s="230" t="s">
        <v>10</v>
      </c>
      <c r="G42" s="230"/>
      <c r="H42" s="78"/>
      <c r="I42" s="78"/>
      <c r="J42" s="4"/>
      <c r="K42" s="4"/>
      <c r="L42" s="4"/>
      <c r="M42" s="316"/>
      <c r="N42" s="316"/>
      <c r="O42" s="4"/>
    </row>
    <row r="43" spans="2:15" ht="9.75" customHeight="1" x14ac:dyDescent="0.25">
      <c r="B43" s="205"/>
      <c r="C43" s="205"/>
      <c r="D43" s="205"/>
      <c r="E43" s="209"/>
      <c r="F43" s="231"/>
      <c r="G43" s="231"/>
      <c r="H43" s="78"/>
      <c r="I43" s="78"/>
      <c r="J43" s="4"/>
      <c r="K43" s="4"/>
      <c r="L43" s="4"/>
      <c r="M43" s="316"/>
      <c r="N43" s="316"/>
      <c r="O43" s="4"/>
    </row>
    <row r="44" spans="2:15" x14ac:dyDescent="0.25">
      <c r="B44" s="205" t="s">
        <v>181</v>
      </c>
      <c r="C44" s="232" t="s">
        <v>308</v>
      </c>
      <c r="D44" s="232"/>
      <c r="E44" s="232"/>
      <c r="F44" s="230" t="s">
        <v>208</v>
      </c>
      <c r="G44" s="230"/>
      <c r="H44" s="78"/>
      <c r="I44" s="78"/>
      <c r="J44" s="4"/>
      <c r="K44" s="4"/>
      <c r="L44" s="4"/>
      <c r="M44" s="316"/>
      <c r="N44" s="316"/>
      <c r="O44" s="4"/>
    </row>
    <row r="45" spans="2:15" ht="9.75" customHeight="1" x14ac:dyDescent="0.25">
      <c r="B45" s="205"/>
      <c r="C45" s="205"/>
      <c r="D45" s="205"/>
      <c r="E45" s="209"/>
      <c r="F45" s="230"/>
      <c r="G45" s="230"/>
      <c r="H45" s="78"/>
      <c r="I45" s="78"/>
    </row>
    <row r="46" spans="2:15" x14ac:dyDescent="0.25">
      <c r="B46" s="205" t="s">
        <v>182</v>
      </c>
      <c r="C46" s="232" t="s">
        <v>308</v>
      </c>
      <c r="D46" s="232"/>
      <c r="E46" s="232"/>
      <c r="F46" s="230" t="s">
        <v>209</v>
      </c>
      <c r="G46" s="230"/>
      <c r="H46" s="78"/>
      <c r="I46" s="78"/>
    </row>
    <row r="47" spans="2:15" ht="10.5" customHeight="1" x14ac:dyDescent="0.25">
      <c r="B47" s="45"/>
      <c r="C47" s="45"/>
      <c r="D47" s="45"/>
      <c r="E47" s="209"/>
      <c r="F47" s="46"/>
      <c r="G47" s="47"/>
      <c r="H47" s="48"/>
      <c r="I47" s="10"/>
    </row>
    <row r="48" spans="2:15" x14ac:dyDescent="0.25">
      <c r="B48" s="205" t="s">
        <v>183</v>
      </c>
      <c r="C48" s="232" t="s">
        <v>308</v>
      </c>
      <c r="D48" s="232"/>
      <c r="E48" s="232"/>
      <c r="F48" s="230" t="s">
        <v>209</v>
      </c>
      <c r="G48" s="230"/>
      <c r="H48" s="78"/>
      <c r="I48" s="78"/>
    </row>
    <row r="49" spans="5:8" ht="8.25" customHeight="1" x14ac:dyDescent="0.25">
      <c r="E49" s="209"/>
      <c r="F49" s="82"/>
      <c r="H49" s="82"/>
    </row>
    <row r="50" spans="5:8" x14ac:dyDescent="0.25">
      <c r="H50" s="82"/>
    </row>
  </sheetData>
  <mergeCells count="54">
    <mergeCell ref="C42:E42"/>
    <mergeCell ref="M21:M22"/>
    <mergeCell ref="N21:N22"/>
    <mergeCell ref="C15:D15"/>
    <mergeCell ref="C37:D37"/>
    <mergeCell ref="C38:D38"/>
    <mergeCell ref="G16:H16"/>
    <mergeCell ref="E17:F17"/>
    <mergeCell ref="G17:H17"/>
    <mergeCell ref="E15:F15"/>
    <mergeCell ref="G15:H15"/>
    <mergeCell ref="C16:D16"/>
    <mergeCell ref="C17:D17"/>
    <mergeCell ref="C18:D18"/>
    <mergeCell ref="C19:D19"/>
    <mergeCell ref="E38:F38"/>
    <mergeCell ref="C40:D40"/>
    <mergeCell ref="F46:G46"/>
    <mergeCell ref="F48:G48"/>
    <mergeCell ref="F45:G45"/>
    <mergeCell ref="E39:F39"/>
    <mergeCell ref="G39:H39"/>
    <mergeCell ref="G40:H40"/>
    <mergeCell ref="G41:H41"/>
    <mergeCell ref="E40:F40"/>
    <mergeCell ref="E41:F41"/>
    <mergeCell ref="F42:G42"/>
    <mergeCell ref="F43:G43"/>
    <mergeCell ref="C46:E46"/>
    <mergeCell ref="C48:E48"/>
    <mergeCell ref="C41:D41"/>
    <mergeCell ref="F44:G44"/>
    <mergeCell ref="G19:H19"/>
    <mergeCell ref="B36:H36"/>
    <mergeCell ref="E37:F37"/>
    <mergeCell ref="G37:H37"/>
    <mergeCell ref="C39:D39"/>
    <mergeCell ref="G38:H38"/>
    <mergeCell ref="E16:F16"/>
    <mergeCell ref="C44:E44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E18:F18"/>
    <mergeCell ref="G18:H18"/>
    <mergeCell ref="B14:H14"/>
    <mergeCell ref="E19:F19"/>
  </mergeCells>
  <printOptions horizontalCentered="1"/>
  <pageMargins left="0.19685039370078741" right="0.19685039370078741" top="0.15748031496062992" bottom="0.23622047244094491" header="0.15748031496062992" footer="0.23622047244094491"/>
  <pageSetup paperSize="9" scale="5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28" zoomScale="110" zoomScaleNormal="110" workbookViewId="0">
      <selection activeCell="M28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7.85546875" style="5" customWidth="1"/>
    <col min="3" max="3" width="22.5703125" style="13" customWidth="1"/>
    <col min="4" max="4" width="8.42578125" style="82" customWidth="1"/>
    <col min="5" max="5" width="10.28515625" style="82" customWidth="1"/>
    <col min="6" max="6" width="9.85546875" style="5" customWidth="1"/>
    <col min="7" max="7" width="10.28515625" style="5" customWidth="1"/>
    <col min="8" max="8" width="10.7109375" style="5" customWidth="1"/>
    <col min="9" max="9" width="10.7109375" style="5" bestFit="1" customWidth="1"/>
    <col min="10" max="11" width="9.140625" style="5"/>
    <col min="12" max="12" width="11.140625" style="5" customWidth="1"/>
    <col min="13" max="13" width="13" style="310" customWidth="1"/>
    <col min="14" max="14" width="13.57031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19.5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12.75" customHeight="1" x14ac:dyDescent="0.25"/>
    <row r="5" spans="1:9" x14ac:dyDescent="0.25">
      <c r="B5" s="10" t="s">
        <v>0</v>
      </c>
      <c r="C5" s="121"/>
      <c r="D5" s="234" t="s">
        <v>105</v>
      </c>
      <c r="E5" s="234"/>
    </row>
    <row r="6" spans="1:9" x14ac:dyDescent="0.25">
      <c r="B6" s="10" t="s">
        <v>1</v>
      </c>
      <c r="C6" s="121"/>
      <c r="D6" s="207">
        <v>1960</v>
      </c>
      <c r="E6" s="207"/>
    </row>
    <row r="7" spans="1:9" hidden="1" outlineLevel="1" x14ac:dyDescent="0.25">
      <c r="B7" s="10" t="s">
        <v>2</v>
      </c>
      <c r="C7" s="121"/>
      <c r="D7" s="207">
        <v>2</v>
      </c>
      <c r="E7" s="207"/>
    </row>
    <row r="8" spans="1:9" hidden="1" outlineLevel="1" x14ac:dyDescent="0.25">
      <c r="B8" s="10" t="s">
        <v>3</v>
      </c>
      <c r="C8" s="121"/>
      <c r="D8" s="207">
        <v>6</v>
      </c>
      <c r="E8" s="207"/>
    </row>
    <row r="9" spans="1:9" ht="30.75" hidden="1" customHeight="1" outlineLevel="1" x14ac:dyDescent="0.25">
      <c r="B9" s="122" t="s">
        <v>4</v>
      </c>
      <c r="C9" s="123"/>
      <c r="D9" s="207" t="s">
        <v>106</v>
      </c>
      <c r="E9" s="207"/>
    </row>
    <row r="10" spans="1:9" collapsed="1" x14ac:dyDescent="0.25">
      <c r="B10" s="10" t="s">
        <v>5</v>
      </c>
      <c r="C10" s="121"/>
      <c r="D10" s="207" t="s">
        <v>259</v>
      </c>
      <c r="E10" s="207"/>
      <c r="I10" s="17"/>
    </row>
    <row r="11" spans="1:9" x14ac:dyDescent="0.25">
      <c r="B11" s="10" t="s">
        <v>6</v>
      </c>
      <c r="C11" s="121"/>
      <c r="D11" s="207" t="s">
        <v>107</v>
      </c>
      <c r="E11" s="207"/>
    </row>
    <row r="12" spans="1:9" ht="30.75" hidden="1" customHeight="1" outlineLevel="1" x14ac:dyDescent="0.25">
      <c r="B12" s="14" t="s">
        <v>7</v>
      </c>
      <c r="C12" s="15"/>
      <c r="D12" s="91" t="s">
        <v>108</v>
      </c>
      <c r="E12" s="208"/>
      <c r="I12" s="17"/>
    </row>
    <row r="13" spans="1:9" ht="12" customHeight="1" collapsed="1" x14ac:dyDescent="0.25">
      <c r="B13" s="14"/>
      <c r="C13" s="15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39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311715.88</v>
      </c>
      <c r="D16" s="223"/>
      <c r="E16" s="222">
        <v>213253.61452730474</v>
      </c>
      <c r="F16" s="223"/>
      <c r="G16" s="222">
        <v>98462.265472695246</v>
      </c>
      <c r="H16" s="256"/>
      <c r="I16" s="17"/>
    </row>
    <row r="17" spans="2:15" x14ac:dyDescent="0.25">
      <c r="B17" s="94" t="s">
        <v>16</v>
      </c>
      <c r="C17" s="220">
        <v>290823.61</v>
      </c>
      <c r="D17" s="221"/>
      <c r="E17" s="220">
        <v>199003.24028772753</v>
      </c>
      <c r="F17" s="221"/>
      <c r="G17" s="220">
        <v>91820.36971227247</v>
      </c>
      <c r="H17" s="251"/>
      <c r="I17" s="17"/>
    </row>
    <row r="18" spans="2:15" ht="16.5" thickBot="1" x14ac:dyDescent="0.3">
      <c r="B18" s="95" t="s">
        <v>189</v>
      </c>
      <c r="C18" s="227">
        <v>264796.70180000004</v>
      </c>
      <c r="D18" s="228"/>
      <c r="E18" s="227">
        <v>208124.70180000001</v>
      </c>
      <c r="F18" s="228"/>
      <c r="G18" s="227">
        <v>56672</v>
      </c>
      <c r="H18" s="250"/>
      <c r="I18" s="17"/>
    </row>
    <row r="19" spans="2:15" ht="29.25" customHeight="1" thickBot="1" x14ac:dyDescent="0.3">
      <c r="B19" s="97" t="s">
        <v>297</v>
      </c>
      <c r="C19" s="216">
        <f>E19+G19</f>
        <v>26026.908199999991</v>
      </c>
      <c r="D19" s="217"/>
      <c r="E19" s="248">
        <f>E17-E18</f>
        <v>-9121.461512272479</v>
      </c>
      <c r="F19" s="254"/>
      <c r="G19" s="248">
        <f>G17-G18</f>
        <v>35148.36971227247</v>
      </c>
      <c r="H19" s="249"/>
      <c r="I19" s="17"/>
    </row>
    <row r="20" spans="2:15" x14ac:dyDescent="0.25">
      <c r="B20" s="14"/>
      <c r="C20" s="15"/>
      <c r="D20" s="91"/>
      <c r="E20" s="208"/>
      <c r="I20" s="17"/>
    </row>
    <row r="21" spans="2:15" ht="18.7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5">
        <v>33858.58</v>
      </c>
      <c r="N23" s="314">
        <f>M23*1.01</f>
        <v>34197.165800000002</v>
      </c>
    </row>
    <row r="24" spans="2:15" ht="56.25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3363.6452483598882</v>
      </c>
      <c r="G24" s="24">
        <f>$N$23/$N$24*E24</f>
        <v>3397.2817008434877</v>
      </c>
      <c r="H24" s="25">
        <f>F24-G24</f>
        <v>-33.636452483599442</v>
      </c>
      <c r="I24" s="60"/>
      <c r="J24" s="27"/>
      <c r="K24" s="27"/>
      <c r="L24" s="28"/>
      <c r="M24" s="315">
        <f>E33-E31</f>
        <v>10.669999999999998</v>
      </c>
      <c r="N24" s="315">
        <f>E33-E31</f>
        <v>10.669999999999998</v>
      </c>
      <c r="O24" s="27"/>
    </row>
    <row r="25" spans="2:15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3776.1677788191196</v>
      </c>
      <c r="G25" s="6">
        <f>$N$23/$N$24*E25</f>
        <v>3813.9294566073113</v>
      </c>
      <c r="H25" s="25">
        <f t="shared" ref="H25:H30" si="0">F25-G25</f>
        <v>-37.761677788191719</v>
      </c>
      <c r="I25" s="61"/>
      <c r="J25" s="4"/>
      <c r="K25" s="4"/>
      <c r="L25" s="10" t="s">
        <v>289</v>
      </c>
      <c r="M25" s="318">
        <f>M26/E33*M24</f>
        <v>0</v>
      </c>
      <c r="N25" s="318">
        <f>N26/E33*N24</f>
        <v>0</v>
      </c>
      <c r="O25" s="4"/>
    </row>
    <row r="26" spans="2:15" ht="56.2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1015.44007497657</v>
      </c>
      <c r="G26" s="6">
        <f t="shared" ref="G26:G29" si="2">$N$23/$N$24*E26</f>
        <v>1025.5944757263358</v>
      </c>
      <c r="H26" s="25">
        <f t="shared" si="0"/>
        <v>-10.154400749765728</v>
      </c>
      <c r="I26" s="44"/>
      <c r="L26" s="10" t="s">
        <v>290</v>
      </c>
      <c r="M26" s="323"/>
      <c r="N26" s="323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264.43751952514845</v>
      </c>
      <c r="G27" s="6">
        <f>($N$23/12*2)/$N$24*E27</f>
        <v>267.08189472039993</v>
      </c>
      <c r="H27" s="25">
        <f t="shared" si="0"/>
        <v>-2.6443751952514845</v>
      </c>
      <c r="I27" s="44"/>
      <c r="L27" s="11" t="s">
        <v>291</v>
      </c>
      <c r="M27" s="318">
        <f>M26-M25</f>
        <v>0</v>
      </c>
      <c r="N27" s="318">
        <f>N26-N25</f>
        <v>0</v>
      </c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3744.435276476102</v>
      </c>
      <c r="G28" s="6">
        <f t="shared" si="2"/>
        <v>3781.8796292408629</v>
      </c>
      <c r="H28" s="25">
        <f t="shared" si="0"/>
        <v>-37.444352764760879</v>
      </c>
      <c r="I28" s="44"/>
    </row>
    <row r="29" spans="2:15" ht="222.7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17801.933814432996</v>
      </c>
      <c r="G29" s="6">
        <f t="shared" si="2"/>
        <v>17979.953152577327</v>
      </c>
      <c r="H29" s="25">
        <f t="shared" si="0"/>
        <v>-178.01933814433141</v>
      </c>
      <c r="I29" s="61"/>
      <c r="J29" s="4"/>
      <c r="K29" s="4"/>
      <c r="L29" s="3"/>
      <c r="M29" s="316"/>
      <c r="N29" s="316"/>
    </row>
    <row r="30" spans="2:15" ht="107.2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602.91754451733846</v>
      </c>
      <c r="G30" s="6">
        <f t="shared" ref="G30" si="3">$N$23/$N$24*E30</f>
        <v>608.94671996251191</v>
      </c>
      <c r="H30" s="25">
        <f t="shared" si="0"/>
        <v>-6.0291754451734505</v>
      </c>
      <c r="I30" s="44"/>
    </row>
    <row r="31" spans="2:15" ht="56.25" x14ac:dyDescent="0.25">
      <c r="B31" s="30" t="s">
        <v>206</v>
      </c>
      <c r="C31" s="8" t="s">
        <v>223</v>
      </c>
      <c r="D31" s="22" t="s">
        <v>201</v>
      </c>
      <c r="E31" s="99">
        <v>5.16</v>
      </c>
      <c r="F31" s="23">
        <v>17701.14</v>
      </c>
      <c r="G31" s="6">
        <v>30221</v>
      </c>
      <c r="H31" s="25">
        <f>F31-G31</f>
        <v>-12519.86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1.51-0.89</f>
        <v>0.62</v>
      </c>
      <c r="F32" s="23">
        <f t="shared" si="1"/>
        <v>1967.4151452671044</v>
      </c>
      <c r="G32" s="6">
        <f t="shared" ref="G32" si="4">$N$23/$N$24*E32</f>
        <v>1987.0892967197756</v>
      </c>
      <c r="H32" s="33">
        <f>F32-G32</f>
        <v>-19.67415145267114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15.829999999999998</v>
      </c>
      <c r="F33" s="56">
        <f>SUM(F24:F32)</f>
        <v>50237.532402374272</v>
      </c>
      <c r="G33" s="57">
        <f>SUM(G24:G32)</f>
        <v>63082.756326398012</v>
      </c>
      <c r="H33" s="38">
        <f>SUM(H24:H32)</f>
        <v>-12845.223924023745</v>
      </c>
      <c r="I33" s="44"/>
    </row>
    <row r="34" spans="2:15" x14ac:dyDescent="0.25">
      <c r="B34" s="17"/>
      <c r="C34" s="17"/>
      <c r="D34" s="17"/>
      <c r="E34" s="86"/>
      <c r="F34" s="82"/>
      <c r="G34" s="86"/>
      <c r="H34" s="82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41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361953.41240237426</v>
      </c>
      <c r="D37" s="223"/>
      <c r="E37" s="224">
        <f>F24+F25+F26+F27+F28+F29+F30+F32+E16</f>
        <v>245790.00692967902</v>
      </c>
      <c r="F37" s="225"/>
      <c r="G37" s="224">
        <f>F31+G16</f>
        <v>116163.40547269525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346726.43</v>
      </c>
      <c r="D38" s="221"/>
      <c r="E38" s="220">
        <f>E17+N25+36710.63</f>
        <v>235713.87028772754</v>
      </c>
      <c r="F38" s="221"/>
      <c r="G38" s="220">
        <f>G17+N27+19192.19</f>
        <v>111012.55971227247</v>
      </c>
      <c r="H38" s="251"/>
      <c r="I38" s="76"/>
      <c r="J38" s="77"/>
      <c r="K38" s="12"/>
      <c r="L38" s="9"/>
      <c r="M38" s="318"/>
    </row>
    <row r="39" spans="2:15" ht="16.5" thickBot="1" x14ac:dyDescent="0.3">
      <c r="B39" s="95" t="s">
        <v>189</v>
      </c>
      <c r="C39" s="227">
        <f>E39+G39</f>
        <v>327879.45812639804</v>
      </c>
      <c r="D39" s="228"/>
      <c r="E39" s="246">
        <f>G24+G25+G26+G27+G28+G29+G30+G32+E18</f>
        <v>240986.45812639804</v>
      </c>
      <c r="F39" s="247"/>
      <c r="G39" s="246">
        <f>G31+G18</f>
        <v>86893</v>
      </c>
      <c r="H39" s="252"/>
      <c r="I39" s="76"/>
      <c r="J39" s="77"/>
      <c r="K39" s="44"/>
      <c r="L39" s="44"/>
    </row>
    <row r="40" spans="2:15" ht="25.5" thickBot="1" x14ac:dyDescent="0.3">
      <c r="B40" s="97" t="s">
        <v>298</v>
      </c>
      <c r="C40" s="216">
        <f>E40+G40</f>
        <v>18846.971873601971</v>
      </c>
      <c r="D40" s="217"/>
      <c r="E40" s="248">
        <f>E38-E39</f>
        <v>-5272.5878386705008</v>
      </c>
      <c r="F40" s="254"/>
      <c r="G40" s="248">
        <f>G38-G39</f>
        <v>24119.559712272472</v>
      </c>
      <c r="H40" s="249"/>
      <c r="I40" s="76"/>
      <c r="J40" s="77"/>
      <c r="K40" s="44"/>
      <c r="L40" s="44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4"/>
      <c r="M41" s="316"/>
      <c r="N41" s="316"/>
      <c r="O41" s="4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4"/>
      <c r="M42" s="316"/>
      <c r="N42" s="316"/>
      <c r="O42" s="4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8.25" customHeight="1" x14ac:dyDescent="0.25">
      <c r="E48" s="209"/>
    </row>
  </sheetData>
  <mergeCells count="54">
    <mergeCell ref="C38:D38"/>
    <mergeCell ref="E38:F38"/>
    <mergeCell ref="G38:H38"/>
    <mergeCell ref="G37:H37"/>
    <mergeCell ref="M21:M22"/>
    <mergeCell ref="E37:F37"/>
    <mergeCell ref="N21:N22"/>
    <mergeCell ref="C36:D36"/>
    <mergeCell ref="C37:D37"/>
    <mergeCell ref="C16:D16"/>
    <mergeCell ref="C17:D17"/>
    <mergeCell ref="C18:D18"/>
    <mergeCell ref="C19:D19"/>
    <mergeCell ref="B35:H35"/>
    <mergeCell ref="E36:F36"/>
    <mergeCell ref="G36:H36"/>
    <mergeCell ref="E19:F19"/>
    <mergeCell ref="G19:H19"/>
    <mergeCell ref="E17:F17"/>
    <mergeCell ref="G17:H17"/>
    <mergeCell ref="E18:F18"/>
    <mergeCell ref="G18:H18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6:F16"/>
    <mergeCell ref="G16:H16"/>
    <mergeCell ref="C15:D15"/>
    <mergeCell ref="F47:G47"/>
    <mergeCell ref="F44:G44"/>
    <mergeCell ref="F45:G45"/>
    <mergeCell ref="F43:G43"/>
    <mergeCell ref="E39:F39"/>
    <mergeCell ref="G39:H39"/>
    <mergeCell ref="G40:H40"/>
    <mergeCell ref="F41:G41"/>
    <mergeCell ref="F42:G42"/>
    <mergeCell ref="E40:F40"/>
    <mergeCell ref="C41:E41"/>
    <mergeCell ref="C43:E43"/>
    <mergeCell ref="C45:E45"/>
    <mergeCell ref="C47:E47"/>
    <mergeCell ref="C40:D40"/>
    <mergeCell ref="C39:D39"/>
  </mergeCells>
  <printOptions horizontalCentered="1"/>
  <pageMargins left="0.19685039370078741" right="0.19685039370078741" top="0.47244094488188981" bottom="0.23622047244094491" header="0.47244094488188981" footer="0.23622047244094491"/>
  <pageSetup paperSize="9" scale="5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0"/>
  <sheetViews>
    <sheetView topLeftCell="B19" zoomScale="110" zoomScaleNormal="110" workbookViewId="0">
      <selection activeCell="M19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140625" style="5" customWidth="1"/>
    <col min="3" max="3" width="21.28515625" style="82" customWidth="1"/>
    <col min="4" max="4" width="9" style="82" customWidth="1"/>
    <col min="5" max="5" width="10.28515625" style="82" customWidth="1"/>
    <col min="6" max="6" width="9.42578125" style="5" customWidth="1"/>
    <col min="7" max="7" width="10.42578125" style="5" customWidth="1"/>
    <col min="8" max="8" width="10.28515625" style="5" customWidth="1"/>
    <col min="9" max="9" width="10.7109375" style="5" bestFit="1" customWidth="1"/>
    <col min="10" max="12" width="9.140625" style="5"/>
    <col min="13" max="13" width="15.140625" style="310" customWidth="1"/>
    <col min="14" max="14" width="14.71093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2.5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15" customHeight="1" x14ac:dyDescent="0.25"/>
    <row r="5" spans="1:9" x14ac:dyDescent="0.25">
      <c r="B5" s="10" t="s">
        <v>0</v>
      </c>
      <c r="C5" s="48"/>
      <c r="D5" s="234" t="s">
        <v>109</v>
      </c>
      <c r="E5" s="234"/>
      <c r="F5" s="10"/>
    </row>
    <row r="6" spans="1:9" x14ac:dyDescent="0.25">
      <c r="B6" s="10" t="s">
        <v>1</v>
      </c>
      <c r="C6" s="48"/>
      <c r="D6" s="207">
        <v>1959</v>
      </c>
      <c r="E6" s="207"/>
      <c r="F6" s="10"/>
    </row>
    <row r="7" spans="1:9" hidden="1" outlineLevel="1" x14ac:dyDescent="0.25">
      <c r="B7" s="10" t="s">
        <v>2</v>
      </c>
      <c r="C7" s="48"/>
      <c r="D7" s="207">
        <v>2</v>
      </c>
      <c r="E7" s="207"/>
      <c r="F7" s="10"/>
    </row>
    <row r="8" spans="1:9" hidden="1" outlineLevel="1" x14ac:dyDescent="0.25">
      <c r="B8" s="10" t="s">
        <v>3</v>
      </c>
      <c r="C8" s="48"/>
      <c r="D8" s="207">
        <v>16</v>
      </c>
      <c r="E8" s="207"/>
      <c r="F8" s="10"/>
    </row>
    <row r="9" spans="1:9" ht="30.75" hidden="1" customHeight="1" outlineLevel="1" x14ac:dyDescent="0.25">
      <c r="B9" s="122" t="s">
        <v>4</v>
      </c>
      <c r="C9" s="133"/>
      <c r="D9" s="207" t="s">
        <v>110</v>
      </c>
      <c r="E9" s="207"/>
      <c r="F9" s="10"/>
    </row>
    <row r="10" spans="1:9" collapsed="1" x14ac:dyDescent="0.25">
      <c r="B10" s="10" t="s">
        <v>5</v>
      </c>
      <c r="C10" s="48"/>
      <c r="D10" s="207" t="s">
        <v>260</v>
      </c>
      <c r="E10" s="207"/>
      <c r="F10" s="10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111</v>
      </c>
      <c r="E12" s="208"/>
      <c r="I12" s="17"/>
    </row>
    <row r="13" spans="1:9" ht="11.2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1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677386.58000000007</v>
      </c>
      <c r="D16" s="253"/>
      <c r="E16" s="224">
        <v>467400.81000000006</v>
      </c>
      <c r="F16" s="225"/>
      <c r="G16" s="224">
        <v>209985.77</v>
      </c>
      <c r="H16" s="226"/>
      <c r="I16" s="17"/>
    </row>
    <row r="17" spans="2:15" x14ac:dyDescent="0.25">
      <c r="B17" s="94" t="s">
        <v>16</v>
      </c>
      <c r="C17" s="220">
        <v>604860.15</v>
      </c>
      <c r="D17" s="221"/>
      <c r="E17" s="220">
        <v>416998.18</v>
      </c>
      <c r="F17" s="221"/>
      <c r="G17" s="220">
        <v>187861.97</v>
      </c>
      <c r="H17" s="251"/>
      <c r="I17" s="17"/>
    </row>
    <row r="18" spans="2:15" x14ac:dyDescent="0.25">
      <c r="B18" s="95" t="s">
        <v>189</v>
      </c>
      <c r="C18" s="220">
        <v>648993.69590000005</v>
      </c>
      <c r="D18" s="221"/>
      <c r="E18" s="246">
        <v>465831.69590000005</v>
      </c>
      <c r="F18" s="247"/>
      <c r="G18" s="246">
        <v>183162</v>
      </c>
      <c r="H18" s="252"/>
      <c r="I18" s="17"/>
    </row>
    <row r="19" spans="2:15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5" ht="27.75" customHeight="1" thickBot="1" x14ac:dyDescent="0.3">
      <c r="B20" s="97" t="s">
        <v>297</v>
      </c>
      <c r="C20" s="216">
        <f>E20+G20</f>
        <v>-33333.545900000056</v>
      </c>
      <c r="D20" s="217"/>
      <c r="E20" s="248">
        <f>E17+E19-E18</f>
        <v>-38033.515900000057</v>
      </c>
      <c r="F20" s="254"/>
      <c r="G20" s="248">
        <f>G17-G18</f>
        <v>4699.9700000000012</v>
      </c>
      <c r="H20" s="249"/>
      <c r="I20" s="17"/>
    </row>
    <row r="21" spans="2:15" ht="11.25" customHeight="1" x14ac:dyDescent="0.25">
      <c r="B21" s="83"/>
      <c r="C21" s="83"/>
      <c r="D21" s="84"/>
      <c r="E21" s="85"/>
      <c r="F21" s="85"/>
      <c r="G21" s="85"/>
      <c r="H21" s="85"/>
      <c r="I21" s="17"/>
    </row>
    <row r="22" spans="2:15" ht="17.2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L22" s="17"/>
      <c r="M22" s="312" t="s">
        <v>301</v>
      </c>
      <c r="N22" s="312" t="s">
        <v>302</v>
      </c>
    </row>
    <row r="23" spans="2:15" ht="32.25" customHeight="1" x14ac:dyDescent="0.25">
      <c r="B23" s="263" t="s">
        <v>196</v>
      </c>
      <c r="C23" s="237" t="s">
        <v>197</v>
      </c>
      <c r="D23" s="237" t="s">
        <v>210</v>
      </c>
      <c r="E23" s="239" t="s">
        <v>312</v>
      </c>
      <c r="F23" s="241" t="s">
        <v>199</v>
      </c>
      <c r="G23" s="242"/>
      <c r="H23" s="243" t="s">
        <v>227</v>
      </c>
      <c r="L23" s="17"/>
      <c r="M23" s="313"/>
      <c r="N23" s="313"/>
    </row>
    <row r="24" spans="2:15" ht="53.25" customHeight="1" thickBot="1" x14ac:dyDescent="0.3">
      <c r="B24" s="264"/>
      <c r="C24" s="238"/>
      <c r="D24" s="238"/>
      <c r="E24" s="240"/>
      <c r="F24" s="19" t="s">
        <v>187</v>
      </c>
      <c r="G24" s="20" t="s">
        <v>188</v>
      </c>
      <c r="H24" s="244"/>
      <c r="M24" s="314">
        <v>78169.240000000005</v>
      </c>
      <c r="N24" s="314">
        <f>M24*1.01</f>
        <v>78950.932400000005</v>
      </c>
    </row>
    <row r="25" spans="2:15" ht="56.25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7665.068862164665</v>
      </c>
      <c r="G25" s="24">
        <f>$N$24/$N$25*E25</f>
        <v>7741.7195507863107</v>
      </c>
      <c r="H25" s="25">
        <f>F25-G25</f>
        <v>-76.650688621645713</v>
      </c>
      <c r="I25" s="60"/>
      <c r="J25" s="27"/>
      <c r="K25" s="27"/>
      <c r="L25" s="28"/>
      <c r="M25" s="315">
        <f>E34-E32</f>
        <v>10.809999999999999</v>
      </c>
      <c r="N25" s="315">
        <f>E34-E32</f>
        <v>10.809999999999999</v>
      </c>
      <c r="O25" s="27"/>
    </row>
    <row r="26" spans="2:15" ht="56.25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8605.1244773358012</v>
      </c>
      <c r="G26" s="6">
        <f>$N$24/$N$25*E26</f>
        <v>8691.1757221091593</v>
      </c>
      <c r="H26" s="25">
        <f t="shared" ref="H26:H31" si="0">F26-G26</f>
        <v>-86.051244773358121</v>
      </c>
      <c r="I26" s="61"/>
      <c r="J26" s="4"/>
      <c r="K26" s="4"/>
      <c r="L26" s="4"/>
      <c r="M26" s="316"/>
      <c r="N26" s="316"/>
      <c r="O26" s="4"/>
    </row>
    <row r="27" spans="2:15" ht="56.25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2313.9830527289555</v>
      </c>
      <c r="G27" s="6">
        <f t="shared" ref="G27:G30" si="2">$N$24/$N$25*E27</f>
        <v>2337.1228832562447</v>
      </c>
      <c r="H27" s="25">
        <f t="shared" si="0"/>
        <v>-23.139830527289178</v>
      </c>
      <c r="I27" s="44"/>
      <c r="L27" s="17"/>
    </row>
    <row r="28" spans="2:15" ht="25.5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602.59975331483201</v>
      </c>
      <c r="G28" s="6">
        <f>($N$24/12*2)/$N$25*E28</f>
        <v>608.62575084798038</v>
      </c>
      <c r="H28" s="25">
        <f t="shared" si="0"/>
        <v>-6.0259975331483702</v>
      </c>
      <c r="I28" s="44"/>
      <c r="L28" s="17"/>
    </row>
    <row r="29" spans="2:15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8532.8125069380221</v>
      </c>
      <c r="G29" s="6">
        <f t="shared" si="2"/>
        <v>8618.140632007402</v>
      </c>
      <c r="H29" s="25">
        <f t="shared" si="0"/>
        <v>-85.328125069379894</v>
      </c>
      <c r="I29" s="44"/>
    </row>
    <row r="30" spans="2:15" ht="228" customHeight="1" x14ac:dyDescent="0.25">
      <c r="B30" s="29" t="s">
        <v>219</v>
      </c>
      <c r="C30" s="32" t="s">
        <v>204</v>
      </c>
      <c r="D30" s="22" t="s">
        <v>201</v>
      </c>
      <c r="E30" s="99">
        <v>5.61</v>
      </c>
      <c r="F30" s="23">
        <f t="shared" si="1"/>
        <v>40567.015393154499</v>
      </c>
      <c r="G30" s="6">
        <f t="shared" si="2"/>
        <v>40972.685547086039</v>
      </c>
      <c r="H30" s="25">
        <f t="shared" si="0"/>
        <v>-405.67015393153997</v>
      </c>
      <c r="I30" s="61"/>
      <c r="J30" s="4"/>
      <c r="K30" s="4"/>
      <c r="L30" s="3"/>
      <c r="M30" s="316"/>
      <c r="N30" s="316"/>
    </row>
    <row r="31" spans="2:15" ht="107.2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1373.9274375578173</v>
      </c>
      <c r="G31" s="6">
        <f t="shared" ref="G31" si="3">$N$24/$N$25*E31</f>
        <v>1387.6667119333952</v>
      </c>
      <c r="H31" s="25">
        <f t="shared" si="0"/>
        <v>-13.739274375577907</v>
      </c>
      <c r="I31" s="44"/>
    </row>
    <row r="32" spans="2:15" ht="56.25" x14ac:dyDescent="0.25">
      <c r="B32" s="30" t="s">
        <v>206</v>
      </c>
      <c r="C32" s="8" t="s">
        <v>223</v>
      </c>
      <c r="D32" s="22" t="s">
        <v>201</v>
      </c>
      <c r="E32" s="99">
        <v>5.16</v>
      </c>
      <c r="F32" s="23">
        <v>40295.040000000001</v>
      </c>
      <c r="G32" s="6">
        <v>17736</v>
      </c>
      <c r="H32" s="25">
        <f>F32-G32</f>
        <v>22559.040000000001</v>
      </c>
      <c r="I32" s="44"/>
      <c r="L32" s="17"/>
    </row>
    <row r="33" spans="2:15" ht="16.5" thickBot="1" x14ac:dyDescent="0.3">
      <c r="B33" s="51" t="s">
        <v>186</v>
      </c>
      <c r="C33" s="52" t="s">
        <v>204</v>
      </c>
      <c r="D33" s="53" t="s">
        <v>201</v>
      </c>
      <c r="E33" s="103">
        <v>0.76</v>
      </c>
      <c r="F33" s="23">
        <f t="shared" si="1"/>
        <v>5495.709750231269</v>
      </c>
      <c r="G33" s="6">
        <f t="shared" ref="G33" si="4">$N$24/$N$25*E33</f>
        <v>5550.6668477335807</v>
      </c>
      <c r="H33" s="33">
        <f>F33-G33</f>
        <v>-54.957097502311626</v>
      </c>
      <c r="I33" s="44"/>
    </row>
    <row r="34" spans="2:15" ht="16.5" thickBot="1" x14ac:dyDescent="0.3">
      <c r="B34" s="54" t="s">
        <v>190</v>
      </c>
      <c r="C34" s="55"/>
      <c r="D34" s="55"/>
      <c r="E34" s="101">
        <f>SUM(E25:E33)</f>
        <v>15.969999999999999</v>
      </c>
      <c r="F34" s="56">
        <f>SUM(F25:F33)</f>
        <v>115451.28123342586</v>
      </c>
      <c r="G34" s="57">
        <f>SUM(G25:G33)</f>
        <v>93643.803645760112</v>
      </c>
      <c r="H34" s="38">
        <f>SUM(H25:H33)</f>
        <v>21807.477587665748</v>
      </c>
      <c r="I34" s="44"/>
    </row>
    <row r="35" spans="2:15" x14ac:dyDescent="0.25">
      <c r="B35" s="17"/>
      <c r="C35" s="17"/>
      <c r="D35" s="17"/>
      <c r="E35" s="86"/>
      <c r="F35" s="82"/>
      <c r="G35" s="86"/>
      <c r="H35" s="82"/>
      <c r="O35" s="82"/>
    </row>
    <row r="36" spans="2:15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5" ht="44.2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43"/>
      <c r="M37" s="317"/>
      <c r="N37" s="317"/>
    </row>
    <row r="38" spans="2:15" x14ac:dyDescent="0.25">
      <c r="B38" s="93" t="s">
        <v>15</v>
      </c>
      <c r="C38" s="222">
        <f>E38+G38</f>
        <v>792837.86123342603</v>
      </c>
      <c r="D38" s="223"/>
      <c r="E38" s="224">
        <f>F25+F26+F27+F28+F29+F30+F31+F33+E16</f>
        <v>542557.05123342597</v>
      </c>
      <c r="F38" s="225"/>
      <c r="G38" s="224">
        <f>F32+G16</f>
        <v>250280.81</v>
      </c>
      <c r="H38" s="226"/>
      <c r="I38" s="76"/>
      <c r="J38" s="77"/>
      <c r="K38" s="9"/>
      <c r="L38" s="9"/>
      <c r="M38" s="318"/>
    </row>
    <row r="39" spans="2:15" x14ac:dyDescent="0.25">
      <c r="B39" s="94" t="s">
        <v>16</v>
      </c>
      <c r="C39" s="220">
        <f>E39+G39</f>
        <v>701152.51</v>
      </c>
      <c r="D39" s="221"/>
      <c r="E39" s="220">
        <f>E17+63538.99</f>
        <v>480537.17</v>
      </c>
      <c r="F39" s="221"/>
      <c r="G39" s="220">
        <f>G17+32753.37</f>
        <v>220615.34</v>
      </c>
      <c r="H39" s="251"/>
      <c r="I39" s="76"/>
      <c r="J39" s="77"/>
      <c r="K39" s="12"/>
      <c r="L39" s="9"/>
      <c r="M39" s="318"/>
    </row>
    <row r="40" spans="2:15" x14ac:dyDescent="0.25">
      <c r="B40" s="95" t="s">
        <v>189</v>
      </c>
      <c r="C40" s="220">
        <f>E40+G40</f>
        <v>742637.49954576022</v>
      </c>
      <c r="D40" s="221"/>
      <c r="E40" s="246">
        <f>G25+G26+G27+G28+G29+G30+G31+G33+E18</f>
        <v>541739.49954576022</v>
      </c>
      <c r="F40" s="247"/>
      <c r="G40" s="246">
        <f>G32+G18</f>
        <v>200898</v>
      </c>
      <c r="H40" s="252"/>
      <c r="I40" s="76"/>
      <c r="J40" s="77"/>
      <c r="K40" s="44"/>
      <c r="L40" s="44"/>
    </row>
    <row r="41" spans="2:15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76"/>
      <c r="J41" s="77"/>
      <c r="K41" s="44"/>
      <c r="L41" s="44"/>
    </row>
    <row r="42" spans="2:15" ht="30" customHeight="1" thickBot="1" x14ac:dyDescent="0.3">
      <c r="B42" s="97" t="s">
        <v>298</v>
      </c>
      <c r="C42" s="216">
        <f>E42+G42</f>
        <v>-27084.98954576024</v>
      </c>
      <c r="D42" s="217"/>
      <c r="E42" s="248">
        <f>E39+E41-E40</f>
        <v>-46802.329545760236</v>
      </c>
      <c r="F42" s="254"/>
      <c r="G42" s="248">
        <f>G39-G40</f>
        <v>19717.339999999997</v>
      </c>
      <c r="H42" s="249"/>
      <c r="I42" s="76"/>
      <c r="J42" s="77"/>
      <c r="K42" s="44"/>
      <c r="L42" s="44"/>
    </row>
    <row r="43" spans="2:15" ht="27.7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1"/>
      <c r="G44" s="231"/>
      <c r="H44" s="78"/>
      <c r="I44" s="78"/>
      <c r="J44" s="4"/>
      <c r="K44" s="4"/>
      <c r="L44" s="4"/>
      <c r="M44" s="316"/>
      <c r="N44" s="316"/>
      <c r="O44" s="4"/>
    </row>
    <row r="45" spans="2:15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78"/>
      <c r="I45" s="78"/>
      <c r="J45" s="4"/>
      <c r="K45" s="4"/>
      <c r="L45" s="4"/>
      <c r="M45" s="316"/>
      <c r="N45" s="316"/>
      <c r="O45" s="4"/>
    </row>
    <row r="46" spans="2:15" ht="9.75" customHeight="1" x14ac:dyDescent="0.25">
      <c r="B46" s="205"/>
      <c r="C46" s="205"/>
      <c r="D46" s="205"/>
      <c r="E46" s="209"/>
      <c r="F46" s="230"/>
      <c r="G46" s="230"/>
      <c r="H46" s="78"/>
      <c r="I46" s="78"/>
    </row>
    <row r="47" spans="2:15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0.5" customHeight="1" x14ac:dyDescent="0.25">
      <c r="B48" s="45"/>
      <c r="C48" s="45"/>
      <c r="D48" s="45"/>
      <c r="E48" s="209"/>
      <c r="F48" s="46"/>
      <c r="G48" s="47"/>
      <c r="H48" s="48"/>
      <c r="I48" s="10"/>
    </row>
    <row r="49" spans="2:9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78"/>
      <c r="I49" s="78"/>
    </row>
    <row r="50" spans="2:9" ht="12" customHeight="1" x14ac:dyDescent="0.25">
      <c r="C50" s="13"/>
      <c r="E50" s="209"/>
    </row>
  </sheetData>
  <mergeCells count="60">
    <mergeCell ref="M22:M23"/>
    <mergeCell ref="N22:N23"/>
    <mergeCell ref="C37:D37"/>
    <mergeCell ref="C38:D38"/>
    <mergeCell ref="C39:D39"/>
    <mergeCell ref="B36:H36"/>
    <mergeCell ref="E37:F37"/>
    <mergeCell ref="G37:H37"/>
    <mergeCell ref="E38:F38"/>
    <mergeCell ref="G38:H38"/>
    <mergeCell ref="E39:F39"/>
    <mergeCell ref="G39:H39"/>
    <mergeCell ref="E19:F19"/>
    <mergeCell ref="G19:H19"/>
    <mergeCell ref="E20:F20"/>
    <mergeCell ref="G20:H20"/>
    <mergeCell ref="C19:D19"/>
    <mergeCell ref="C20:D20"/>
    <mergeCell ref="C16:D16"/>
    <mergeCell ref="E17:F17"/>
    <mergeCell ref="G17:H17"/>
    <mergeCell ref="E18:F18"/>
    <mergeCell ref="G18:H18"/>
    <mergeCell ref="C17:D17"/>
    <mergeCell ref="C18:D18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E16:F16"/>
    <mergeCell ref="G16:H16"/>
    <mergeCell ref="C15:D15"/>
    <mergeCell ref="C40:D40"/>
    <mergeCell ref="C41:D41"/>
    <mergeCell ref="C42:D42"/>
    <mergeCell ref="F43:G43"/>
    <mergeCell ref="F44:G44"/>
    <mergeCell ref="E40:F40"/>
    <mergeCell ref="G40:H40"/>
    <mergeCell ref="E42:F42"/>
    <mergeCell ref="G42:H42"/>
    <mergeCell ref="E41:F41"/>
    <mergeCell ref="G41:H41"/>
    <mergeCell ref="C43:E43"/>
    <mergeCell ref="C45:E45"/>
    <mergeCell ref="C47:E47"/>
    <mergeCell ref="C49:E49"/>
    <mergeCell ref="F45:G45"/>
    <mergeCell ref="F46:G46"/>
    <mergeCell ref="F47:G47"/>
    <mergeCell ref="F49:G49"/>
  </mergeCells>
  <printOptions horizontalCentered="1"/>
  <pageMargins left="0.19685039370078741" right="0.19685039370078741" top="0.15748031496062992" bottom="0.27559055118110237" header="0.6692913385826772" footer="0.23622047244094491"/>
  <pageSetup paperSize="9" scale="5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0"/>
  <sheetViews>
    <sheetView topLeftCell="A25" zoomScale="110" zoomScaleNormal="110" workbookViewId="0">
      <selection activeCell="M25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140625" style="5" customWidth="1"/>
    <col min="3" max="3" width="21.42578125" style="82" customWidth="1"/>
    <col min="4" max="4" width="8.28515625" style="82" customWidth="1"/>
    <col min="5" max="5" width="10.28515625" style="82" customWidth="1"/>
    <col min="6" max="6" width="9.5703125" style="5" customWidth="1"/>
    <col min="7" max="7" width="10.42578125" style="5" customWidth="1"/>
    <col min="8" max="8" width="10.7109375" style="82" customWidth="1"/>
    <col min="9" max="9" width="10.7109375" style="5" bestFit="1" customWidth="1"/>
    <col min="10" max="10" width="11.7109375" style="5" customWidth="1"/>
    <col min="11" max="12" width="9.140625" style="5"/>
    <col min="13" max="13" width="15.140625" style="310" customWidth="1"/>
    <col min="14" max="14" width="14.855468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1.75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13.5" customHeight="1" x14ac:dyDescent="0.25"/>
    <row r="5" spans="1:9" x14ac:dyDescent="0.25">
      <c r="B5" s="10" t="s">
        <v>0</v>
      </c>
      <c r="C5" s="48"/>
      <c r="D5" s="234" t="s">
        <v>112</v>
      </c>
      <c r="E5" s="234"/>
    </row>
    <row r="6" spans="1:9" x14ac:dyDescent="0.25">
      <c r="B6" s="10" t="s">
        <v>1</v>
      </c>
      <c r="C6" s="48"/>
      <c r="D6" s="207">
        <v>1958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8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113</v>
      </c>
      <c r="E9" s="207"/>
    </row>
    <row r="10" spans="1:9" collapsed="1" x14ac:dyDescent="0.25">
      <c r="B10" s="10" t="s">
        <v>5</v>
      </c>
      <c r="C10" s="48"/>
      <c r="D10" s="207" t="s">
        <v>261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114</v>
      </c>
      <c r="E12" s="208"/>
      <c r="I12" s="17"/>
    </row>
    <row r="13" spans="1:9" ht="12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50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352216.70999999996</v>
      </c>
      <c r="D16" s="253"/>
      <c r="E16" s="224">
        <v>241569.36</v>
      </c>
      <c r="F16" s="225"/>
      <c r="G16" s="224">
        <v>110647.35</v>
      </c>
      <c r="H16" s="226"/>
      <c r="I16" s="17"/>
    </row>
    <row r="17" spans="2:15" x14ac:dyDescent="0.25">
      <c r="B17" s="94" t="s">
        <v>16</v>
      </c>
      <c r="C17" s="220">
        <v>303314.53000000003</v>
      </c>
      <c r="D17" s="221"/>
      <c r="E17" s="220">
        <v>208048.1</v>
      </c>
      <c r="F17" s="221"/>
      <c r="G17" s="220">
        <v>95266.43</v>
      </c>
      <c r="H17" s="251"/>
      <c r="I17" s="17"/>
    </row>
    <row r="18" spans="2:15" x14ac:dyDescent="0.25">
      <c r="B18" s="95" t="s">
        <v>189</v>
      </c>
      <c r="C18" s="220">
        <v>267891.33799999999</v>
      </c>
      <c r="D18" s="221"/>
      <c r="E18" s="246">
        <v>246156.33799999999</v>
      </c>
      <c r="F18" s="247"/>
      <c r="G18" s="246">
        <v>21735</v>
      </c>
      <c r="H18" s="252"/>
      <c r="I18" s="17"/>
    </row>
    <row r="19" spans="2:15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5" ht="27.75" customHeight="1" thickBot="1" x14ac:dyDescent="0.3">
      <c r="B20" s="97" t="s">
        <v>297</v>
      </c>
      <c r="C20" s="216">
        <f>E20+G20</f>
        <v>46223.19200000001</v>
      </c>
      <c r="D20" s="217"/>
      <c r="E20" s="248">
        <f>E17+E19-E18</f>
        <v>-27308.237999999983</v>
      </c>
      <c r="F20" s="254"/>
      <c r="G20" s="248">
        <f>G17-G18</f>
        <v>73531.429999999993</v>
      </c>
      <c r="H20" s="249"/>
      <c r="I20" s="17"/>
    </row>
    <row r="21" spans="2:15" x14ac:dyDescent="0.25">
      <c r="B21" s="14"/>
      <c r="C21" s="79"/>
      <c r="D21" s="91"/>
      <c r="E21" s="208"/>
      <c r="I21" s="17"/>
    </row>
    <row r="22" spans="2:15" ht="17.2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L22" s="17"/>
      <c r="M22" s="312" t="s">
        <v>301</v>
      </c>
      <c r="N22" s="312" t="s">
        <v>302</v>
      </c>
    </row>
    <row r="23" spans="2:15" ht="32.25" customHeight="1" x14ac:dyDescent="0.25">
      <c r="B23" s="263" t="s">
        <v>196</v>
      </c>
      <c r="C23" s="237" t="s">
        <v>197</v>
      </c>
      <c r="D23" s="237" t="s">
        <v>210</v>
      </c>
      <c r="E23" s="239" t="s">
        <v>325</v>
      </c>
      <c r="F23" s="241" t="s">
        <v>199</v>
      </c>
      <c r="G23" s="242"/>
      <c r="H23" s="243" t="s">
        <v>227</v>
      </c>
      <c r="L23" s="17"/>
      <c r="M23" s="313"/>
      <c r="N23" s="313"/>
    </row>
    <row r="24" spans="2:15" ht="53.25" customHeight="1" thickBot="1" x14ac:dyDescent="0.3">
      <c r="B24" s="264"/>
      <c r="C24" s="238"/>
      <c r="D24" s="238"/>
      <c r="E24" s="240"/>
      <c r="F24" s="19" t="s">
        <v>187</v>
      </c>
      <c r="G24" s="20" t="s">
        <v>188</v>
      </c>
      <c r="H24" s="244"/>
      <c r="M24" s="314">
        <v>23039.919999999998</v>
      </c>
      <c r="N24" s="314">
        <f>M24*1.01</f>
        <v>23270.319199999998</v>
      </c>
    </row>
    <row r="25" spans="2:15" ht="59.25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2826.6568518518516</v>
      </c>
      <c r="G25" s="24">
        <f>$N$24/$N$25*E25</f>
        <v>2854.92342037037</v>
      </c>
      <c r="H25" s="25">
        <f>F25-G25</f>
        <v>-28.266568518518397</v>
      </c>
      <c r="I25" s="60"/>
      <c r="J25" s="27"/>
      <c r="K25" s="27"/>
      <c r="L25" s="28"/>
      <c r="M25" s="315">
        <f>E34-E32</f>
        <v>8.64</v>
      </c>
      <c r="N25" s="315">
        <f>E34-E32</f>
        <v>8.64</v>
      </c>
      <c r="O25" s="27"/>
    </row>
    <row r="26" spans="2:15" ht="54.75" customHeight="1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3173.322314814814</v>
      </c>
      <c r="G26" s="6">
        <f>$N$24/$N$25*E26</f>
        <v>3205.0555379629623</v>
      </c>
      <c r="H26" s="25">
        <f t="shared" ref="H26:H31" si="0">F26-G26</f>
        <v>-31.733223148148227</v>
      </c>
      <c r="I26" s="61"/>
      <c r="J26" s="4"/>
      <c r="K26" s="4"/>
      <c r="L26" s="4"/>
      <c r="M26" s="316"/>
      <c r="N26" s="316"/>
      <c r="O26" s="4"/>
    </row>
    <row r="27" spans="2:15" ht="56.25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853.33037037037025</v>
      </c>
      <c r="G27" s="6">
        <f t="shared" ref="G27:G30" si="2">$N$24/$N$25*E27</f>
        <v>861.86367407407397</v>
      </c>
      <c r="H27" s="25">
        <f t="shared" si="0"/>
        <v>-8.5333037037037229</v>
      </c>
      <c r="I27" s="44"/>
      <c r="L27" s="17"/>
    </row>
    <row r="28" spans="2:15" ht="25.5" x14ac:dyDescent="0.25">
      <c r="B28" s="30" t="s">
        <v>185</v>
      </c>
      <c r="C28" s="31" t="s">
        <v>203</v>
      </c>
      <c r="D28" s="22" t="s">
        <v>201</v>
      </c>
      <c r="E28" s="99">
        <v>0</v>
      </c>
      <c r="F28" s="23">
        <f>($M$24/12*2)/$M$25*E28</f>
        <v>0</v>
      </c>
      <c r="G28" s="6">
        <f>($N$24/12*2)/$N$25*E28</f>
        <v>0</v>
      </c>
      <c r="H28" s="25">
        <f t="shared" si="0"/>
        <v>0</v>
      </c>
      <c r="I28" s="44"/>
      <c r="L28" s="17"/>
    </row>
    <row r="29" spans="2:15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3146.6557407407399</v>
      </c>
      <c r="G29" s="6">
        <f t="shared" si="2"/>
        <v>3178.1222981481474</v>
      </c>
      <c r="H29" s="25">
        <f t="shared" si="0"/>
        <v>-31.466557407407436</v>
      </c>
      <c r="I29" s="44"/>
    </row>
    <row r="30" spans="2:15" ht="216" customHeight="1" x14ac:dyDescent="0.25">
      <c r="B30" s="29" t="s">
        <v>219</v>
      </c>
      <c r="C30" s="32" t="s">
        <v>204</v>
      </c>
      <c r="D30" s="22" t="s">
        <v>201</v>
      </c>
      <c r="E30" s="99">
        <v>4.6900000000000004</v>
      </c>
      <c r="F30" s="23">
        <f t="shared" si="1"/>
        <v>12506.623240740739</v>
      </c>
      <c r="G30" s="6">
        <f t="shared" si="2"/>
        <v>12631.689473148148</v>
      </c>
      <c r="H30" s="25">
        <f t="shared" si="0"/>
        <v>-125.06623240740919</v>
      </c>
      <c r="I30" s="61"/>
      <c r="J30" s="4"/>
      <c r="K30" s="4"/>
      <c r="L30" s="3"/>
      <c r="M30" s="316"/>
      <c r="N30" s="316"/>
    </row>
    <row r="31" spans="2:15" ht="107.2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506.66490740740733</v>
      </c>
      <c r="G31" s="6">
        <f t="shared" ref="G31" si="3">$N$24/$N$25*E31</f>
        <v>511.73155648148139</v>
      </c>
      <c r="H31" s="25">
        <f t="shared" si="0"/>
        <v>-5.0666490740740642</v>
      </c>
      <c r="I31" s="44"/>
    </row>
    <row r="32" spans="2:15" ht="56.25" x14ac:dyDescent="0.25">
      <c r="B32" s="30" t="s">
        <v>206</v>
      </c>
      <c r="C32" s="8" t="s">
        <v>223</v>
      </c>
      <c r="D32" s="22" t="s">
        <v>201</v>
      </c>
      <c r="E32" s="99">
        <v>4.5599999999999996</v>
      </c>
      <c r="F32" s="23">
        <v>12537.24</v>
      </c>
      <c r="G32" s="6">
        <v>0</v>
      </c>
      <c r="H32" s="25">
        <f>F32-G32</f>
        <v>12537.24</v>
      </c>
      <c r="I32" s="44"/>
      <c r="L32" s="17"/>
    </row>
    <row r="33" spans="2:15" ht="16.5" thickBot="1" x14ac:dyDescent="0.3">
      <c r="B33" s="51" t="s">
        <v>186</v>
      </c>
      <c r="C33" s="52" t="s">
        <v>204</v>
      </c>
      <c r="D33" s="53" t="s">
        <v>201</v>
      </c>
      <c r="E33" s="103">
        <v>0.01</v>
      </c>
      <c r="F33" s="23">
        <f t="shared" si="1"/>
        <v>26.66657407407407</v>
      </c>
      <c r="G33" s="6">
        <f t="shared" ref="G33" si="4">$N$24/$N$25*E33</f>
        <v>26.933239814814812</v>
      </c>
      <c r="H33" s="33">
        <f>F33-G33</f>
        <v>-0.26666574074074134</v>
      </c>
      <c r="I33" s="44"/>
    </row>
    <row r="34" spans="2:15" ht="16.5" thickBot="1" x14ac:dyDescent="0.3">
      <c r="B34" s="54" t="s">
        <v>190</v>
      </c>
      <c r="C34" s="55"/>
      <c r="D34" s="55"/>
      <c r="E34" s="101">
        <f>SUM(E25:E33)</f>
        <v>13.200000000000001</v>
      </c>
      <c r="F34" s="56">
        <f>SUM(F25:F33)</f>
        <v>35577.159999999996</v>
      </c>
      <c r="G34" s="57">
        <f>SUM(G25:G33)</f>
        <v>23270.319199999998</v>
      </c>
      <c r="H34" s="38">
        <f>SUM(H25:H33)</f>
        <v>12306.840799999998</v>
      </c>
      <c r="I34" s="44"/>
    </row>
    <row r="35" spans="2:15" x14ac:dyDescent="0.25">
      <c r="B35" s="17"/>
      <c r="C35" s="17"/>
      <c r="D35" s="17"/>
      <c r="E35" s="86"/>
      <c r="F35" s="82"/>
      <c r="G35" s="86"/>
      <c r="O35" s="82"/>
    </row>
    <row r="36" spans="2:15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5" ht="42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43"/>
      <c r="M37" s="317"/>
      <c r="N37" s="317"/>
    </row>
    <row r="38" spans="2:15" x14ac:dyDescent="0.25">
      <c r="B38" s="93" t="s">
        <v>15</v>
      </c>
      <c r="C38" s="222">
        <f>E38+G38</f>
        <v>387793.87</v>
      </c>
      <c r="D38" s="223"/>
      <c r="E38" s="224">
        <f>F25+F26+F27+F28+F29+F30+F31+F33+E16</f>
        <v>264609.27999999997</v>
      </c>
      <c r="F38" s="225"/>
      <c r="G38" s="224">
        <f>F32+G16</f>
        <v>123184.59000000001</v>
      </c>
      <c r="H38" s="226"/>
      <c r="I38" s="76"/>
      <c r="J38" s="77"/>
      <c r="K38" s="9"/>
      <c r="L38" s="9"/>
      <c r="M38" s="318"/>
    </row>
    <row r="39" spans="2:15" x14ac:dyDescent="0.25">
      <c r="B39" s="94" t="s">
        <v>16</v>
      </c>
      <c r="C39" s="220">
        <f>E39+G39</f>
        <v>328672.27</v>
      </c>
      <c r="D39" s="221"/>
      <c r="E39" s="220">
        <f>E17+16421.78</f>
        <v>224469.88</v>
      </c>
      <c r="F39" s="221"/>
      <c r="G39" s="220">
        <f>G17+8935.96</f>
        <v>104202.38999999998</v>
      </c>
      <c r="H39" s="251"/>
      <c r="I39" s="76"/>
      <c r="J39" s="77"/>
      <c r="K39" s="12"/>
      <c r="L39" s="9"/>
      <c r="M39" s="318"/>
    </row>
    <row r="40" spans="2:15" x14ac:dyDescent="0.25">
      <c r="B40" s="95" t="s">
        <v>189</v>
      </c>
      <c r="C40" s="220">
        <f>E40+G40</f>
        <v>291161.65720000002</v>
      </c>
      <c r="D40" s="221"/>
      <c r="E40" s="246">
        <f>G25+G26+G27+G28+G29+G30+G31+G33+E18</f>
        <v>269426.65720000002</v>
      </c>
      <c r="F40" s="247"/>
      <c r="G40" s="246">
        <f>G32+G18</f>
        <v>21735</v>
      </c>
      <c r="H40" s="252"/>
      <c r="I40" s="76"/>
      <c r="J40" s="77"/>
      <c r="K40" s="44"/>
      <c r="L40" s="44"/>
    </row>
    <row r="41" spans="2:15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76"/>
      <c r="J41" s="77"/>
      <c r="K41" s="44"/>
      <c r="L41" s="44"/>
    </row>
    <row r="42" spans="2:15" ht="36.75" thickBot="1" x14ac:dyDescent="0.3">
      <c r="B42" s="97" t="s">
        <v>298</v>
      </c>
      <c r="C42" s="216">
        <f>E42+G42</f>
        <v>51910.612799999974</v>
      </c>
      <c r="D42" s="217"/>
      <c r="E42" s="248">
        <f>E39+E41-E40</f>
        <v>-30556.777200000011</v>
      </c>
      <c r="F42" s="254"/>
      <c r="G42" s="248">
        <f>G39-G40</f>
        <v>82467.389999999985</v>
      </c>
      <c r="H42" s="249"/>
      <c r="I42" s="76"/>
      <c r="J42" s="77"/>
      <c r="K42" s="44"/>
      <c r="L42" s="44"/>
    </row>
    <row r="43" spans="2:15" ht="27.7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1"/>
      <c r="G44" s="231"/>
      <c r="H44" s="78"/>
      <c r="I44" s="78"/>
      <c r="J44" s="4"/>
      <c r="K44" s="4"/>
      <c r="L44" s="4"/>
      <c r="M44" s="316"/>
      <c r="N44" s="316"/>
      <c r="O44" s="4"/>
    </row>
    <row r="45" spans="2:15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78"/>
      <c r="I45" s="78"/>
      <c r="J45" s="4"/>
      <c r="K45" s="4"/>
      <c r="L45" s="4"/>
      <c r="M45" s="316"/>
      <c r="N45" s="316"/>
      <c r="O45" s="4"/>
    </row>
    <row r="46" spans="2:15" ht="9.75" customHeight="1" x14ac:dyDescent="0.25">
      <c r="B46" s="205"/>
      <c r="C46" s="205"/>
      <c r="D46" s="205"/>
      <c r="E46" s="209"/>
      <c r="F46" s="230"/>
      <c r="G46" s="230"/>
      <c r="H46" s="78"/>
      <c r="I46" s="78"/>
    </row>
    <row r="47" spans="2:15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0.5" customHeight="1" x14ac:dyDescent="0.25">
      <c r="B48" s="45"/>
      <c r="C48" s="45"/>
      <c r="D48" s="45"/>
      <c r="E48" s="209"/>
      <c r="F48" s="46"/>
      <c r="G48" s="47"/>
      <c r="H48" s="48"/>
      <c r="I48" s="10"/>
    </row>
    <row r="49" spans="2:9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78"/>
      <c r="I49" s="78"/>
    </row>
    <row r="50" spans="2:9" ht="10.5" customHeight="1" x14ac:dyDescent="0.25">
      <c r="C50" s="13"/>
      <c r="E50" s="209"/>
      <c r="H50" s="5"/>
    </row>
  </sheetData>
  <mergeCells count="60">
    <mergeCell ref="C39:D39"/>
    <mergeCell ref="G37:H37"/>
    <mergeCell ref="E38:F38"/>
    <mergeCell ref="G38:H38"/>
    <mergeCell ref="E39:F39"/>
    <mergeCell ref="G39:H39"/>
    <mergeCell ref="E37:F37"/>
    <mergeCell ref="G15:H15"/>
    <mergeCell ref="M22:M23"/>
    <mergeCell ref="N22:N23"/>
    <mergeCell ref="C37:D37"/>
    <mergeCell ref="C38:D38"/>
    <mergeCell ref="B36:H36"/>
    <mergeCell ref="C15:D15"/>
    <mergeCell ref="C16:D16"/>
    <mergeCell ref="C17:D17"/>
    <mergeCell ref="C18:D18"/>
    <mergeCell ref="C19:D19"/>
    <mergeCell ref="C20:D20"/>
    <mergeCell ref="E16:F16"/>
    <mergeCell ref="G16:H16"/>
    <mergeCell ref="E17:F17"/>
    <mergeCell ref="G17:H17"/>
    <mergeCell ref="F43:G43"/>
    <mergeCell ref="F44:G44"/>
    <mergeCell ref="F47:G47"/>
    <mergeCell ref="F45:G45"/>
    <mergeCell ref="F46:G46"/>
    <mergeCell ref="G18:H18"/>
    <mergeCell ref="E19:F19"/>
    <mergeCell ref="G19:H19"/>
    <mergeCell ref="E40:F40"/>
    <mergeCell ref="E42:F42"/>
    <mergeCell ref="G40:H40"/>
    <mergeCell ref="G42:H42"/>
    <mergeCell ref="E41:F41"/>
    <mergeCell ref="G41:H41"/>
    <mergeCell ref="F49:G49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E20:F20"/>
    <mergeCell ref="G20:H20"/>
    <mergeCell ref="E18:F18"/>
    <mergeCell ref="C43:E43"/>
    <mergeCell ref="C45:E45"/>
    <mergeCell ref="C47:E47"/>
    <mergeCell ref="C49:E49"/>
    <mergeCell ref="C40:D40"/>
    <mergeCell ref="C41:D41"/>
    <mergeCell ref="C42:D42"/>
  </mergeCells>
  <printOptions horizontalCentered="1"/>
  <pageMargins left="0.19685039370078741" right="0.19685039370078741" top="0.15748031496062992" bottom="0.23622047244094491" header="0.16" footer="0.25"/>
  <pageSetup paperSize="9" scale="4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8"/>
  <sheetViews>
    <sheetView topLeftCell="A16" zoomScale="110" zoomScaleNormal="110" workbookViewId="0">
      <selection activeCell="L16" sqref="L1:P1048576"/>
    </sheetView>
  </sheetViews>
  <sheetFormatPr defaultColWidth="9.140625" defaultRowHeight="15.75" outlineLevelRow="1" x14ac:dyDescent="0.25"/>
  <cols>
    <col min="1" max="1" width="2.85546875" style="5" customWidth="1"/>
    <col min="2" max="2" width="56" style="5" customWidth="1"/>
    <col min="3" max="3" width="21.85546875" style="82" customWidth="1"/>
    <col min="4" max="4" width="8.28515625" style="82" customWidth="1"/>
    <col min="5" max="5" width="10.28515625" style="82" customWidth="1"/>
    <col min="6" max="6" width="9.85546875" style="5" customWidth="1"/>
    <col min="7" max="7" width="10.28515625" style="5" customWidth="1"/>
    <col min="8" max="8" width="10.7109375" style="5" customWidth="1"/>
    <col min="9" max="9" width="10.7109375" style="5" bestFit="1" customWidth="1"/>
    <col min="10" max="11" width="9.140625" style="5"/>
    <col min="12" max="12" width="12" style="310" customWidth="1"/>
    <col min="13" max="14" width="13.5703125" style="310" customWidth="1"/>
    <col min="15" max="16" width="9.140625" style="310"/>
    <col min="17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35">
      <c r="A2" s="59"/>
      <c r="B2" s="265" t="s">
        <v>323</v>
      </c>
      <c r="C2" s="265"/>
      <c r="D2" s="265"/>
      <c r="E2" s="265"/>
      <c r="F2" s="265"/>
      <c r="G2" s="265"/>
      <c r="H2" s="265"/>
    </row>
    <row r="3" spans="1:9" ht="21.75" customHeight="1" x14ac:dyDescent="0.35">
      <c r="A3" s="59"/>
      <c r="B3" s="265"/>
      <c r="C3" s="265"/>
      <c r="D3" s="265"/>
      <c r="E3" s="265"/>
      <c r="F3" s="265"/>
      <c r="G3" s="265"/>
      <c r="H3" s="265"/>
    </row>
    <row r="4" spans="1:9" ht="15" customHeight="1" x14ac:dyDescent="0.25"/>
    <row r="5" spans="1:9" x14ac:dyDescent="0.25">
      <c r="B5" s="10" t="s">
        <v>0</v>
      </c>
      <c r="C5" s="48"/>
      <c r="D5" s="234" t="s">
        <v>115</v>
      </c>
      <c r="E5" s="234"/>
    </row>
    <row r="6" spans="1:9" x14ac:dyDescent="0.25">
      <c r="B6" s="10" t="s">
        <v>1</v>
      </c>
      <c r="C6" s="48"/>
      <c r="D6" s="207">
        <v>1960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15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117</v>
      </c>
      <c r="E9" s="207"/>
    </row>
    <row r="10" spans="1:9" collapsed="1" x14ac:dyDescent="0.25">
      <c r="B10" s="10" t="s">
        <v>5</v>
      </c>
      <c r="C10" s="48"/>
      <c r="D10" s="207" t="s">
        <v>262</v>
      </c>
      <c r="E10" s="207"/>
      <c r="I10" s="17"/>
    </row>
    <row r="11" spans="1:9" x14ac:dyDescent="0.25">
      <c r="B11" s="10" t="s">
        <v>6</v>
      </c>
      <c r="C11" s="48"/>
      <c r="D11" s="207" t="s">
        <v>295</v>
      </c>
      <c r="E11" s="207"/>
    </row>
    <row r="12" spans="1:9" ht="30.75" hidden="1" customHeight="1" outlineLevel="1" x14ac:dyDescent="0.25">
      <c r="B12" s="14" t="s">
        <v>7</v>
      </c>
      <c r="C12" s="79"/>
      <c r="D12" s="91" t="s">
        <v>116</v>
      </c>
      <c r="E12" s="208"/>
      <c r="I12" s="17"/>
    </row>
    <row r="13" spans="1:9" ht="10.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0.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580994.86</v>
      </c>
      <c r="D16" s="223"/>
      <c r="E16" s="222">
        <v>399105.89440885268</v>
      </c>
      <c r="F16" s="223"/>
      <c r="G16" s="222">
        <v>181888.96559114734</v>
      </c>
      <c r="H16" s="256"/>
      <c r="I16" s="17"/>
    </row>
    <row r="17" spans="2:15" x14ac:dyDescent="0.25">
      <c r="B17" s="94" t="s">
        <v>16</v>
      </c>
      <c r="C17" s="220">
        <v>575782.6399999999</v>
      </c>
      <c r="D17" s="221"/>
      <c r="E17" s="220">
        <v>396203.95418753638</v>
      </c>
      <c r="F17" s="221"/>
      <c r="G17" s="220">
        <v>179578.68581246358</v>
      </c>
      <c r="H17" s="251"/>
      <c r="I17" s="17"/>
    </row>
    <row r="18" spans="2:15" ht="16.5" thickBot="1" x14ac:dyDescent="0.3">
      <c r="B18" s="95" t="s">
        <v>189</v>
      </c>
      <c r="C18" s="227">
        <v>527457.61320000002</v>
      </c>
      <c r="D18" s="228"/>
      <c r="E18" s="227">
        <v>395844.61320000002</v>
      </c>
      <c r="F18" s="228"/>
      <c r="G18" s="227">
        <v>131613</v>
      </c>
      <c r="H18" s="250"/>
      <c r="I18" s="17"/>
    </row>
    <row r="19" spans="2:15" ht="33" customHeight="1" thickBot="1" x14ac:dyDescent="0.3">
      <c r="B19" s="97" t="s">
        <v>297</v>
      </c>
      <c r="C19" s="216">
        <f>E19+G19</f>
        <v>48325.026799999934</v>
      </c>
      <c r="D19" s="217"/>
      <c r="E19" s="248">
        <f>E17-E18</f>
        <v>359.34098753635772</v>
      </c>
      <c r="F19" s="254"/>
      <c r="G19" s="248">
        <f>G17-G18</f>
        <v>47965.685812463576</v>
      </c>
      <c r="H19" s="249"/>
      <c r="I19" s="17"/>
    </row>
    <row r="20" spans="2:15" x14ac:dyDescent="0.25">
      <c r="B20" s="14"/>
      <c r="C20" s="79"/>
      <c r="D20" s="91"/>
      <c r="E20" s="208"/>
      <c r="I20" s="17"/>
    </row>
    <row r="21" spans="2:15" ht="18.7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321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312</v>
      </c>
      <c r="F22" s="241" t="s">
        <v>199</v>
      </c>
      <c r="G22" s="242"/>
      <c r="H22" s="243" t="s">
        <v>227</v>
      </c>
      <c r="L22" s="321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5">
        <v>65484.3</v>
      </c>
      <c r="N23" s="314">
        <f>M23*1.01</f>
        <v>66139.142999999996</v>
      </c>
    </row>
    <row r="24" spans="2:15" ht="56.25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6421.2172062904729</v>
      </c>
      <c r="G24" s="24">
        <f>$N$23/$N$24*E24</f>
        <v>6485.4293783533767</v>
      </c>
      <c r="H24" s="25">
        <f>F24-G24</f>
        <v>-64.212172062903846</v>
      </c>
      <c r="I24" s="60"/>
      <c r="J24" s="27"/>
      <c r="K24" s="27"/>
      <c r="L24" s="322"/>
      <c r="M24" s="315">
        <f>E33-E31</f>
        <v>10.809999999999999</v>
      </c>
      <c r="N24" s="315">
        <f>E33-E31</f>
        <v>10.809999999999999</v>
      </c>
      <c r="O24" s="326"/>
    </row>
    <row r="25" spans="2:15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7208.7249768732663</v>
      </c>
      <c r="G25" s="6">
        <f>$N$23/$N$24*E25</f>
        <v>7280.8122266419978</v>
      </c>
      <c r="H25" s="25">
        <f t="shared" ref="H25:H30" si="0">F25-G25</f>
        <v>-72.087249768731454</v>
      </c>
      <c r="I25" s="61"/>
      <c r="J25" s="4"/>
      <c r="K25" s="4"/>
      <c r="L25" s="323" t="s">
        <v>289</v>
      </c>
      <c r="M25" s="318">
        <f>M26/E33*M24</f>
        <v>0</v>
      </c>
      <c r="N25" s="318">
        <f>N26/E33*N24</f>
        <v>0</v>
      </c>
      <c r="O25" s="316"/>
    </row>
    <row r="26" spans="2:15" ht="56.2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1938.4806660499542</v>
      </c>
      <c r="G26" s="6">
        <f t="shared" ref="G26:G29" si="2">$N$23/$N$24*E26</f>
        <v>1957.8654727104533</v>
      </c>
      <c r="H26" s="25">
        <f t="shared" si="0"/>
        <v>-19.38480666049918</v>
      </c>
      <c r="I26" s="44"/>
      <c r="L26" s="323" t="s">
        <v>290</v>
      </c>
      <c r="M26" s="323"/>
      <c r="N26" s="323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504.8126734505089</v>
      </c>
      <c r="G27" s="6">
        <f>($N$23/12*2)/$N$24*E27</f>
        <v>509.86080018501389</v>
      </c>
      <c r="H27" s="25">
        <f t="shared" si="0"/>
        <v>-5.0481267345049901</v>
      </c>
      <c r="I27" s="44"/>
      <c r="L27" s="318" t="s">
        <v>291</v>
      </c>
      <c r="M27" s="318">
        <f>M26-M25</f>
        <v>0</v>
      </c>
      <c r="N27" s="318">
        <f>N26-N25</f>
        <v>0</v>
      </c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7148.1474560592051</v>
      </c>
      <c r="G28" s="6">
        <f t="shared" si="2"/>
        <v>7219.6289306197959</v>
      </c>
      <c r="H28" s="25">
        <f t="shared" si="0"/>
        <v>-71.481474560590868</v>
      </c>
      <c r="I28" s="44"/>
    </row>
    <row r="29" spans="2:15" ht="223.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33983.989176688257</v>
      </c>
      <c r="G29" s="6">
        <f t="shared" si="2"/>
        <v>34323.829068455139</v>
      </c>
      <c r="H29" s="25">
        <f t="shared" si="0"/>
        <v>-339.83989176688192</v>
      </c>
      <c r="I29" s="61"/>
      <c r="J29" s="4"/>
      <c r="K29" s="4"/>
      <c r="L29" s="324"/>
      <c r="M29" s="316"/>
      <c r="N29" s="316"/>
    </row>
    <row r="30" spans="2:15" ht="107.2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1150.9728954671602</v>
      </c>
      <c r="G30" s="6">
        <f t="shared" ref="G30" si="3">$N$23/$N$24*E30</f>
        <v>1162.4826244218316</v>
      </c>
      <c r="H30" s="25">
        <f t="shared" si="0"/>
        <v>-11.509728954671345</v>
      </c>
      <c r="I30" s="44"/>
    </row>
    <row r="31" spans="2:15" ht="56.25" x14ac:dyDescent="0.25">
      <c r="B31" s="30" t="s">
        <v>206</v>
      </c>
      <c r="C31" s="8" t="s">
        <v>223</v>
      </c>
      <c r="D31" s="22" t="s">
        <v>201</v>
      </c>
      <c r="E31" s="99">
        <v>5.16</v>
      </c>
      <c r="F31" s="23">
        <v>33756.14</v>
      </c>
      <c r="G31" s="6">
        <v>57004</v>
      </c>
      <c r="H31" s="25">
        <f>F31-G31</f>
        <v>-23247.86</v>
      </c>
      <c r="I31" s="44"/>
      <c r="L31" s="321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1.65-0.89</f>
        <v>0.7599999999999999</v>
      </c>
      <c r="F32" s="23">
        <f t="shared" si="1"/>
        <v>4603.8915818686401</v>
      </c>
      <c r="G32" s="6">
        <f t="shared" ref="G32" si="4">$N$23/$N$24*E32</f>
        <v>4649.9304976873264</v>
      </c>
      <c r="H32" s="33">
        <f>F32-G32</f>
        <v>-46.038915818686291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15.969999999999999</v>
      </c>
      <c r="F33" s="56">
        <f>SUM(F24:F32)</f>
        <v>96716.376632747459</v>
      </c>
      <c r="G33" s="57">
        <f>SUM(G24:G32)</f>
        <v>120593.83899907493</v>
      </c>
      <c r="H33" s="38">
        <f>SUM(H24:H32)</f>
        <v>-23877.462366327469</v>
      </c>
      <c r="I33" s="62"/>
    </row>
    <row r="34" spans="2:15" x14ac:dyDescent="0.25">
      <c r="B34" s="17"/>
      <c r="C34" s="17"/>
      <c r="D34" s="17"/>
      <c r="E34" s="86"/>
      <c r="F34" s="82"/>
      <c r="G34" s="86"/>
      <c r="H34" s="82"/>
      <c r="O34" s="317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43.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319"/>
      <c r="M36" s="317"/>
      <c r="N36" s="317"/>
    </row>
    <row r="37" spans="2:15" x14ac:dyDescent="0.25">
      <c r="B37" s="93" t="s">
        <v>15</v>
      </c>
      <c r="C37" s="222">
        <f>E37+G37</f>
        <v>677711.23663274746</v>
      </c>
      <c r="D37" s="223"/>
      <c r="E37" s="224">
        <f>F24+F25+F26+F27+F28+F29+F30+F32+E16</f>
        <v>462066.13104160014</v>
      </c>
      <c r="F37" s="225"/>
      <c r="G37" s="224">
        <f>F31+G16</f>
        <v>215645.10559114732</v>
      </c>
      <c r="H37" s="226"/>
      <c r="I37" s="76"/>
      <c r="J37" s="77"/>
      <c r="K37" s="9"/>
      <c r="L37" s="320"/>
      <c r="M37" s="318"/>
    </row>
    <row r="38" spans="2:15" x14ac:dyDescent="0.25">
      <c r="B38" s="94" t="s">
        <v>16</v>
      </c>
      <c r="C38" s="220">
        <f>E38+G38</f>
        <v>674449.82</v>
      </c>
      <c r="D38" s="221"/>
      <c r="E38" s="220">
        <f>E17+N25+65106.03</f>
        <v>461309.98418753641</v>
      </c>
      <c r="F38" s="221"/>
      <c r="G38" s="220">
        <f>G17+N27+33561.15</f>
        <v>213139.83581246357</v>
      </c>
      <c r="H38" s="251"/>
      <c r="I38" s="76"/>
      <c r="J38" s="77"/>
      <c r="K38" s="12"/>
      <c r="L38" s="320"/>
      <c r="M38" s="318"/>
    </row>
    <row r="39" spans="2:15" ht="16.5" thickBot="1" x14ac:dyDescent="0.3">
      <c r="B39" s="95" t="s">
        <v>189</v>
      </c>
      <c r="C39" s="227">
        <f>E39+G39</f>
        <v>648051.45219907491</v>
      </c>
      <c r="D39" s="228"/>
      <c r="E39" s="246">
        <f>G24+G25+G26+G27+G28+G29+G30+G32+E18</f>
        <v>459434.45219907496</v>
      </c>
      <c r="F39" s="247"/>
      <c r="G39" s="246">
        <f>G31+G18</f>
        <v>188617</v>
      </c>
      <c r="H39" s="252"/>
      <c r="I39" s="76"/>
      <c r="J39" s="77"/>
      <c r="K39" s="44"/>
      <c r="L39" s="325"/>
    </row>
    <row r="40" spans="2:15" ht="30.75" customHeight="1" thickBot="1" x14ac:dyDescent="0.3">
      <c r="B40" s="97" t="s">
        <v>298</v>
      </c>
      <c r="C40" s="216">
        <f>E40+G40</f>
        <v>26398.367800925014</v>
      </c>
      <c r="D40" s="217"/>
      <c r="E40" s="248">
        <f>E38-E39</f>
        <v>1875.5319884614437</v>
      </c>
      <c r="F40" s="254"/>
      <c r="G40" s="248">
        <f>G38-G39</f>
        <v>24522.835812463571</v>
      </c>
      <c r="H40" s="249"/>
      <c r="I40" s="76"/>
      <c r="J40" s="77"/>
      <c r="K40" s="44"/>
      <c r="L40" s="325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316"/>
      <c r="M41" s="316"/>
      <c r="N41" s="316"/>
      <c r="O41" s="316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316"/>
      <c r="M42" s="316"/>
      <c r="N42" s="316"/>
      <c r="O42" s="316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316"/>
      <c r="M43" s="316"/>
      <c r="N43" s="316"/>
      <c r="O43" s="316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9" customHeight="1" x14ac:dyDescent="0.25">
      <c r="C48" s="13"/>
      <c r="E48" s="209"/>
    </row>
  </sheetData>
  <mergeCells count="54">
    <mergeCell ref="M21:M22"/>
    <mergeCell ref="N21:N22"/>
    <mergeCell ref="C36:D36"/>
    <mergeCell ref="C37:D37"/>
    <mergeCell ref="C38:D38"/>
    <mergeCell ref="B35:H35"/>
    <mergeCell ref="E36:F36"/>
    <mergeCell ref="G36:H36"/>
    <mergeCell ref="E37:F37"/>
    <mergeCell ref="G37:H37"/>
    <mergeCell ref="E38:F38"/>
    <mergeCell ref="G38:H38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6:F16"/>
    <mergeCell ref="G16:H16"/>
    <mergeCell ref="C15:D15"/>
    <mergeCell ref="E39:F39"/>
    <mergeCell ref="G39:H39"/>
    <mergeCell ref="G40:H40"/>
    <mergeCell ref="F41:G41"/>
    <mergeCell ref="C39:D39"/>
    <mergeCell ref="C40:D40"/>
    <mergeCell ref="F42:G42"/>
    <mergeCell ref="E40:F40"/>
    <mergeCell ref="F44:G44"/>
    <mergeCell ref="F47:G47"/>
    <mergeCell ref="F45:G45"/>
    <mergeCell ref="F43:G43"/>
    <mergeCell ref="C41:E41"/>
    <mergeCell ref="C43:E43"/>
    <mergeCell ref="C45:E45"/>
    <mergeCell ref="C47:E47"/>
    <mergeCell ref="C16:D16"/>
    <mergeCell ref="E19:F19"/>
    <mergeCell ref="G19:H19"/>
    <mergeCell ref="E17:F17"/>
    <mergeCell ref="G17:H17"/>
    <mergeCell ref="E18:F18"/>
    <mergeCell ref="G18:H18"/>
    <mergeCell ref="C17:D17"/>
    <mergeCell ref="C18:D18"/>
    <mergeCell ref="C19:D19"/>
  </mergeCells>
  <printOptions horizontalCentered="1"/>
  <pageMargins left="0.19685039370078741" right="0.19685039370078741" top="0.15748031496062992" bottom="0.23622047244094491" header="0.31496062992125984" footer="0.23622047244094491"/>
  <pageSetup paperSize="9" scale="5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0"/>
  <sheetViews>
    <sheetView topLeftCell="A25" zoomScale="110" zoomScaleNormal="110" workbookViewId="0">
      <selection activeCell="L25" sqref="L1:N1048576"/>
    </sheetView>
  </sheetViews>
  <sheetFormatPr defaultColWidth="9.140625" defaultRowHeight="15.75" outlineLevelRow="1" x14ac:dyDescent="0.25"/>
  <cols>
    <col min="1" max="1" width="2.85546875" style="5" customWidth="1"/>
    <col min="2" max="2" width="58.28515625" style="5" customWidth="1"/>
    <col min="3" max="3" width="22.42578125" style="82" customWidth="1"/>
    <col min="4" max="4" width="10" style="82" customWidth="1"/>
    <col min="5" max="5" width="10.28515625" style="82" customWidth="1"/>
    <col min="6" max="6" width="9.42578125" style="5" customWidth="1"/>
    <col min="7" max="7" width="10.28515625" style="5" customWidth="1"/>
    <col min="8" max="8" width="10.5703125" style="5" customWidth="1"/>
    <col min="9" max="9" width="10.7109375" style="5" bestFit="1" customWidth="1"/>
    <col min="10" max="11" width="9.140625" style="5"/>
    <col min="12" max="12" width="11" style="310" customWidth="1"/>
    <col min="13" max="13" width="13.28515625" style="310" customWidth="1"/>
    <col min="14" max="14" width="13.855468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5.5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6.5" customHeight="1" x14ac:dyDescent="0.25"/>
    <row r="5" spans="1:9" x14ac:dyDescent="0.25">
      <c r="B5" s="10" t="s">
        <v>0</v>
      </c>
      <c r="C5" s="48"/>
      <c r="D5" s="234" t="s">
        <v>118</v>
      </c>
      <c r="E5" s="234"/>
    </row>
    <row r="6" spans="1:9" x14ac:dyDescent="0.25">
      <c r="B6" s="10" t="s">
        <v>1</v>
      </c>
      <c r="C6" s="48"/>
      <c r="D6" s="207">
        <v>1960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12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119</v>
      </c>
      <c r="E9" s="207"/>
    </row>
    <row r="10" spans="1:9" collapsed="1" x14ac:dyDescent="0.25">
      <c r="B10" s="10" t="s">
        <v>5</v>
      </c>
      <c r="C10" s="48"/>
      <c r="D10" s="207" t="s">
        <v>263</v>
      </c>
      <c r="E10" s="207"/>
      <c r="I10" s="17"/>
    </row>
    <row r="11" spans="1:9" x14ac:dyDescent="0.25">
      <c r="B11" s="10" t="s">
        <v>6</v>
      </c>
      <c r="C11" s="48"/>
      <c r="D11" s="207" t="s">
        <v>296</v>
      </c>
      <c r="E11" s="207"/>
    </row>
    <row r="12" spans="1:9" ht="30.75" hidden="1" customHeight="1" outlineLevel="1" x14ac:dyDescent="0.25">
      <c r="B12" s="14" t="s">
        <v>7</v>
      </c>
      <c r="C12" s="79"/>
      <c r="D12" s="91" t="s">
        <v>120</v>
      </c>
      <c r="E12" s="208"/>
      <c r="I12" s="17"/>
    </row>
    <row r="13" spans="1:9" ht="12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2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470189.45</v>
      </c>
      <c r="D16" s="253"/>
      <c r="E16" s="224">
        <v>358367.41456740443</v>
      </c>
      <c r="F16" s="225"/>
      <c r="G16" s="224">
        <v>111822.03543259557</v>
      </c>
      <c r="H16" s="226"/>
      <c r="I16" s="17"/>
    </row>
    <row r="17" spans="2:15" x14ac:dyDescent="0.25">
      <c r="B17" s="94" t="s">
        <v>16</v>
      </c>
      <c r="C17" s="220">
        <v>458919.52</v>
      </c>
      <c r="D17" s="221"/>
      <c r="E17" s="220">
        <v>350685.77547283703</v>
      </c>
      <c r="F17" s="221"/>
      <c r="G17" s="220">
        <v>108233.74452716298</v>
      </c>
      <c r="H17" s="251"/>
      <c r="I17" s="17"/>
    </row>
    <row r="18" spans="2:15" x14ac:dyDescent="0.25">
      <c r="B18" s="95" t="s">
        <v>189</v>
      </c>
      <c r="C18" s="220">
        <v>451571.85049999994</v>
      </c>
      <c r="D18" s="221"/>
      <c r="E18" s="246">
        <v>358082.85049999994</v>
      </c>
      <c r="F18" s="247"/>
      <c r="G18" s="246">
        <v>93489</v>
      </c>
      <c r="H18" s="252"/>
      <c r="I18" s="17"/>
    </row>
    <row r="19" spans="2:15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5" ht="28.5" customHeight="1" thickBot="1" x14ac:dyDescent="0.3">
      <c r="B20" s="97" t="s">
        <v>297</v>
      </c>
      <c r="C20" s="216">
        <f>E20+G20</f>
        <v>18147.669500000076</v>
      </c>
      <c r="D20" s="217"/>
      <c r="E20" s="248">
        <f>E17+E19-E18</f>
        <v>3402.9249728370924</v>
      </c>
      <c r="F20" s="254"/>
      <c r="G20" s="248">
        <f>G17-G18</f>
        <v>14744.744527162984</v>
      </c>
      <c r="H20" s="249"/>
      <c r="I20" s="17"/>
    </row>
    <row r="21" spans="2:15" ht="11.25" customHeight="1" x14ac:dyDescent="0.25">
      <c r="B21" s="14"/>
      <c r="C21" s="79"/>
      <c r="D21" s="91"/>
      <c r="E21" s="208"/>
      <c r="I21" s="17"/>
    </row>
    <row r="22" spans="2:15" ht="17.2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L22" s="321"/>
      <c r="M22" s="312" t="s">
        <v>301</v>
      </c>
      <c r="N22" s="312" t="s">
        <v>302</v>
      </c>
    </row>
    <row r="23" spans="2:15" ht="32.25" customHeight="1" x14ac:dyDescent="0.25">
      <c r="B23" s="263" t="s">
        <v>196</v>
      </c>
      <c r="C23" s="237" t="s">
        <v>197</v>
      </c>
      <c r="D23" s="237" t="s">
        <v>210</v>
      </c>
      <c r="E23" s="239" t="s">
        <v>325</v>
      </c>
      <c r="F23" s="241" t="s">
        <v>199</v>
      </c>
      <c r="G23" s="242"/>
      <c r="H23" s="243" t="s">
        <v>227</v>
      </c>
      <c r="L23" s="321"/>
      <c r="M23" s="313"/>
      <c r="N23" s="313"/>
    </row>
    <row r="24" spans="2:15" ht="53.25" customHeight="1" thickBot="1" x14ac:dyDescent="0.3">
      <c r="B24" s="264"/>
      <c r="C24" s="238"/>
      <c r="D24" s="238"/>
      <c r="E24" s="240"/>
      <c r="F24" s="19" t="s">
        <v>187</v>
      </c>
      <c r="G24" s="20" t="s">
        <v>188</v>
      </c>
      <c r="H24" s="244"/>
      <c r="M24" s="315">
        <v>57165.26</v>
      </c>
      <c r="N24" s="314">
        <f>M24*1.01</f>
        <v>57736.912600000003</v>
      </c>
    </row>
    <row r="25" spans="2:15" ht="56.25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5754.5275973409325</v>
      </c>
      <c r="G25" s="24">
        <f>$N$24/$N$25*E25</f>
        <v>5812.0728733143424</v>
      </c>
      <c r="H25" s="25">
        <f>F25-G25</f>
        <v>-57.545275973409844</v>
      </c>
      <c r="I25" s="60"/>
      <c r="J25" s="27"/>
      <c r="K25" s="27"/>
      <c r="L25" s="322"/>
      <c r="M25" s="315">
        <f>E34-E32</f>
        <v>10.529999999999998</v>
      </c>
      <c r="N25" s="315">
        <f>E34-E32</f>
        <v>10.529999999999998</v>
      </c>
      <c r="O25" s="27"/>
    </row>
    <row r="26" spans="2:15" ht="56.25" x14ac:dyDescent="0.25">
      <c r="B26" s="29" t="s">
        <v>202</v>
      </c>
      <c r="C26" s="8" t="s">
        <v>223</v>
      </c>
      <c r="D26" s="22" t="s">
        <v>201</v>
      </c>
      <c r="E26" s="99">
        <v>0</v>
      </c>
      <c r="F26" s="23">
        <f>$M$24/$M$25*E26</f>
        <v>0</v>
      </c>
      <c r="G26" s="6">
        <f>$N$24/$N$25*E26</f>
        <v>0</v>
      </c>
      <c r="H26" s="25">
        <f t="shared" ref="H26:H31" si="0">F26-G26</f>
        <v>0</v>
      </c>
      <c r="I26" s="61"/>
      <c r="J26" s="4"/>
      <c r="K26" s="4"/>
      <c r="L26" s="323" t="s">
        <v>289</v>
      </c>
      <c r="M26" s="318">
        <f>M27/E34*M25</f>
        <v>0</v>
      </c>
      <c r="N26" s="318">
        <f>N27/E34*N25</f>
        <v>0</v>
      </c>
      <c r="O26" s="4"/>
    </row>
    <row r="27" spans="2:15" ht="56.25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1737.2158784425458</v>
      </c>
      <c r="G27" s="6">
        <f t="shared" ref="G27:G30" si="2">$N$24/$N$25*E27</f>
        <v>1754.5880372269712</v>
      </c>
      <c r="H27" s="25">
        <f t="shared" si="0"/>
        <v>-17.372158784425437</v>
      </c>
      <c r="I27" s="44"/>
      <c r="L27" s="323" t="s">
        <v>290</v>
      </c>
      <c r="M27" s="323"/>
      <c r="N27" s="323"/>
    </row>
    <row r="28" spans="2:15" ht="25.5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452.39996834441286</v>
      </c>
      <c r="G28" s="6">
        <f>($N$24/12*2)/$N$25*E28</f>
        <v>456.92396802785703</v>
      </c>
      <c r="H28" s="25">
        <f t="shared" si="0"/>
        <v>-4.523999683444174</v>
      </c>
      <c r="I28" s="44"/>
      <c r="L28" s="318" t="s">
        <v>291</v>
      </c>
      <c r="M28" s="318">
        <f>M27-M26</f>
        <v>0</v>
      </c>
      <c r="N28" s="318">
        <f>N27-N26</f>
        <v>0</v>
      </c>
    </row>
    <row r="29" spans="2:15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6405.9835517568872</v>
      </c>
      <c r="G29" s="6">
        <f t="shared" si="2"/>
        <v>6470.0433872744552</v>
      </c>
      <c r="H29" s="25">
        <f t="shared" si="0"/>
        <v>-64.05983551756799</v>
      </c>
      <c r="I29" s="44"/>
    </row>
    <row r="30" spans="2:15" ht="267" customHeight="1" x14ac:dyDescent="0.25">
      <c r="B30" s="29" t="s">
        <v>219</v>
      </c>
      <c r="C30" s="32" t="s">
        <v>204</v>
      </c>
      <c r="D30" s="22" t="s">
        <v>201</v>
      </c>
      <c r="E30" s="99">
        <v>5.61</v>
      </c>
      <c r="F30" s="23">
        <f t="shared" si="1"/>
        <v>30455.56586894588</v>
      </c>
      <c r="G30" s="6">
        <f t="shared" si="2"/>
        <v>30760.12152763534</v>
      </c>
      <c r="H30" s="25">
        <f t="shared" si="0"/>
        <v>-304.55565868945996</v>
      </c>
      <c r="I30" s="61"/>
      <c r="J30" s="4"/>
      <c r="K30" s="4"/>
      <c r="L30" s="324"/>
      <c r="M30" s="316"/>
      <c r="N30" s="316"/>
    </row>
    <row r="31" spans="2:15" ht="107.2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1031.4719278252614</v>
      </c>
      <c r="G31" s="6">
        <f t="shared" ref="G31" si="3">$N$24/$N$25*E31</f>
        <v>1041.786647103514</v>
      </c>
      <c r="H31" s="25">
        <f t="shared" si="0"/>
        <v>-10.314719278252596</v>
      </c>
      <c r="I31" s="44"/>
    </row>
    <row r="32" spans="2:15" ht="56.25" x14ac:dyDescent="0.25">
      <c r="B32" s="30" t="s">
        <v>206</v>
      </c>
      <c r="C32" s="8" t="s">
        <v>223</v>
      </c>
      <c r="D32" s="22" t="s">
        <v>201</v>
      </c>
      <c r="E32" s="99">
        <v>3.7</v>
      </c>
      <c r="F32" s="23">
        <v>21671.26</v>
      </c>
      <c r="G32" s="6">
        <v>38084</v>
      </c>
      <c r="H32" s="25">
        <f>F32-G32</f>
        <v>-16412.740000000002</v>
      </c>
      <c r="I32" s="44"/>
      <c r="L32" s="321"/>
    </row>
    <row r="33" spans="2:15" ht="16.5" thickBot="1" x14ac:dyDescent="0.3">
      <c r="B33" s="51" t="s">
        <v>186</v>
      </c>
      <c r="C33" s="52" t="s">
        <v>204</v>
      </c>
      <c r="D33" s="53" t="s">
        <v>201</v>
      </c>
      <c r="E33" s="103">
        <f>1.36+0.31</f>
        <v>1.6700000000000002</v>
      </c>
      <c r="F33" s="23">
        <f t="shared" si="1"/>
        <v>9066.0953656220354</v>
      </c>
      <c r="G33" s="6">
        <f t="shared" ref="G33" si="4">$N$24/$N$25*E33</f>
        <v>9156.7563192782563</v>
      </c>
      <c r="H33" s="33">
        <f>F33-G33</f>
        <v>-90.660953656220954</v>
      </c>
      <c r="I33" s="44"/>
    </row>
    <row r="34" spans="2:15" ht="16.5" thickBot="1" x14ac:dyDescent="0.3">
      <c r="B34" s="54" t="s">
        <v>190</v>
      </c>
      <c r="C34" s="55"/>
      <c r="D34" s="55"/>
      <c r="E34" s="101">
        <f>SUM(E25:E33)</f>
        <v>14.229999999999999</v>
      </c>
      <c r="F34" s="56">
        <f>SUM(F25:F33)</f>
        <v>76574.520158277955</v>
      </c>
      <c r="G34" s="57">
        <f>SUM(G25:G33)</f>
        <v>93536.292759860735</v>
      </c>
      <c r="H34" s="38">
        <f>SUM(H25:H33)</f>
        <v>-16961.772601582783</v>
      </c>
      <c r="I34" s="44"/>
      <c r="J34" s="17"/>
    </row>
    <row r="35" spans="2:15" x14ac:dyDescent="0.25">
      <c r="B35" s="17"/>
      <c r="C35" s="17"/>
      <c r="D35" s="17"/>
      <c r="E35" s="86"/>
      <c r="F35" s="82"/>
      <c r="G35" s="82"/>
      <c r="H35" s="82"/>
      <c r="O35" s="82"/>
    </row>
    <row r="36" spans="2:15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5" ht="48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319"/>
      <c r="M37" s="317"/>
      <c r="N37" s="317"/>
    </row>
    <row r="38" spans="2:15" x14ac:dyDescent="0.25">
      <c r="B38" s="93" t="s">
        <v>15</v>
      </c>
      <c r="C38" s="222">
        <f>E38+G38</f>
        <v>546763.97015827789</v>
      </c>
      <c r="D38" s="223"/>
      <c r="E38" s="224">
        <f>F25+F26+F27+F28+F29+F30+F31+F33+E16</f>
        <v>413270.67472568236</v>
      </c>
      <c r="F38" s="225"/>
      <c r="G38" s="224">
        <f>F32+G16</f>
        <v>133493.29543259557</v>
      </c>
      <c r="H38" s="226"/>
      <c r="I38" s="76"/>
      <c r="J38" s="77"/>
      <c r="K38" s="9"/>
      <c r="L38" s="320"/>
      <c r="M38" s="318"/>
    </row>
    <row r="39" spans="2:15" x14ac:dyDescent="0.25">
      <c r="B39" s="94" t="s">
        <v>16</v>
      </c>
      <c r="C39" s="220">
        <f>E39+G39</f>
        <v>535695.16</v>
      </c>
      <c r="D39" s="221"/>
      <c r="E39" s="220">
        <f>E17+N26+55670.89</f>
        <v>406356.66547283705</v>
      </c>
      <c r="F39" s="221"/>
      <c r="G39" s="220">
        <f>G17+N28+21104.75</f>
        <v>129338.49452716298</v>
      </c>
      <c r="H39" s="251"/>
      <c r="I39" s="76"/>
      <c r="J39" s="77"/>
      <c r="K39" s="12"/>
      <c r="L39" s="320"/>
      <c r="M39" s="318"/>
    </row>
    <row r="40" spans="2:15" x14ac:dyDescent="0.25">
      <c r="B40" s="95" t="s">
        <v>189</v>
      </c>
      <c r="C40" s="220">
        <f>E40+G40</f>
        <v>545108.14325986069</v>
      </c>
      <c r="D40" s="221"/>
      <c r="E40" s="246">
        <f>G25+G26+G27+G28+G29+G30+G31+G33+E18</f>
        <v>413535.14325986069</v>
      </c>
      <c r="F40" s="247"/>
      <c r="G40" s="246">
        <f>G32+G18</f>
        <v>131573</v>
      </c>
      <c r="H40" s="252"/>
      <c r="I40" s="76"/>
      <c r="J40" s="77"/>
      <c r="K40" s="44"/>
      <c r="L40" s="325"/>
    </row>
    <row r="41" spans="2:15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76"/>
      <c r="J41" s="77"/>
      <c r="K41" s="44"/>
      <c r="L41" s="325"/>
    </row>
    <row r="42" spans="2:15" ht="25.5" thickBot="1" x14ac:dyDescent="0.3">
      <c r="B42" s="97" t="s">
        <v>298</v>
      </c>
      <c r="C42" s="216">
        <f>E42+G42</f>
        <v>4987.016740139341</v>
      </c>
      <c r="D42" s="217"/>
      <c r="E42" s="248">
        <f>E39+E41-E40</f>
        <v>7221.522212976357</v>
      </c>
      <c r="F42" s="254"/>
      <c r="G42" s="248">
        <f>G39-G40</f>
        <v>-2234.505472837016</v>
      </c>
      <c r="H42" s="249"/>
      <c r="I42" s="76"/>
      <c r="J42" s="77"/>
      <c r="K42" s="44"/>
      <c r="L42" s="325"/>
    </row>
    <row r="43" spans="2:15" ht="27.7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78"/>
      <c r="I43" s="78"/>
      <c r="J43" s="4"/>
      <c r="K43" s="4"/>
      <c r="L43" s="316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1"/>
      <c r="G44" s="231"/>
      <c r="H44" s="78"/>
      <c r="I44" s="78"/>
      <c r="J44" s="4"/>
      <c r="K44" s="4"/>
      <c r="L44" s="316"/>
      <c r="M44" s="316"/>
      <c r="N44" s="316"/>
      <c r="O44" s="4"/>
    </row>
    <row r="45" spans="2:15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78"/>
      <c r="I45" s="78"/>
      <c r="J45" s="4"/>
      <c r="K45" s="4"/>
      <c r="L45" s="316"/>
      <c r="M45" s="316"/>
      <c r="N45" s="316"/>
      <c r="O45" s="4"/>
    </row>
    <row r="46" spans="2:15" ht="9.75" customHeight="1" x14ac:dyDescent="0.25">
      <c r="B46" s="205"/>
      <c r="C46" s="205"/>
      <c r="D46" s="205"/>
      <c r="E46" s="209"/>
      <c r="F46" s="230"/>
      <c r="G46" s="230"/>
      <c r="H46" s="78"/>
      <c r="I46" s="78"/>
    </row>
    <row r="47" spans="2:15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0.5" customHeight="1" x14ac:dyDescent="0.25">
      <c r="B48" s="45"/>
      <c r="C48" s="45"/>
      <c r="D48" s="45"/>
      <c r="E48" s="209"/>
      <c r="F48" s="46"/>
      <c r="G48" s="47"/>
      <c r="H48" s="48"/>
      <c r="I48" s="10"/>
    </row>
    <row r="49" spans="2:9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78"/>
      <c r="I49" s="78"/>
    </row>
    <row r="50" spans="2:9" ht="10.5" customHeight="1" x14ac:dyDescent="0.25">
      <c r="C50" s="13"/>
      <c r="E50" s="209"/>
    </row>
  </sheetData>
  <mergeCells count="60">
    <mergeCell ref="C40:D40"/>
    <mergeCell ref="C41:D41"/>
    <mergeCell ref="C42:D42"/>
    <mergeCell ref="M22:M23"/>
    <mergeCell ref="N22:N23"/>
    <mergeCell ref="C37:D37"/>
    <mergeCell ref="C38:D38"/>
    <mergeCell ref="C39:D39"/>
    <mergeCell ref="E41:F41"/>
    <mergeCell ref="G41:H41"/>
    <mergeCell ref="E40:F40"/>
    <mergeCell ref="G40:H40"/>
    <mergeCell ref="B36:H36"/>
    <mergeCell ref="E37:F37"/>
    <mergeCell ref="G37:H37"/>
    <mergeCell ref="E38:F38"/>
    <mergeCell ref="C15:D15"/>
    <mergeCell ref="C16:D16"/>
    <mergeCell ref="C17:D17"/>
    <mergeCell ref="C18:D18"/>
    <mergeCell ref="C19:D19"/>
    <mergeCell ref="E19:F19"/>
    <mergeCell ref="G19:H19"/>
    <mergeCell ref="E20:F20"/>
    <mergeCell ref="G20:H20"/>
    <mergeCell ref="C20:D20"/>
    <mergeCell ref="E18:F18"/>
    <mergeCell ref="G18:H18"/>
    <mergeCell ref="E15:F15"/>
    <mergeCell ref="G15:H15"/>
    <mergeCell ref="E16:F16"/>
    <mergeCell ref="G16:H16"/>
    <mergeCell ref="F49:G49"/>
    <mergeCell ref="F45:G45"/>
    <mergeCell ref="F46:G46"/>
    <mergeCell ref="E42:F42"/>
    <mergeCell ref="G42:H42"/>
    <mergeCell ref="F43:G43"/>
    <mergeCell ref="F44:G44"/>
    <mergeCell ref="F47:G47"/>
    <mergeCell ref="C43:E43"/>
    <mergeCell ref="C45:E45"/>
    <mergeCell ref="C47:E47"/>
    <mergeCell ref="C49:E49"/>
    <mergeCell ref="G38:H38"/>
    <mergeCell ref="E39:F39"/>
    <mergeCell ref="G39:H39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7:F17"/>
    <mergeCell ref="G17:H17"/>
  </mergeCells>
  <printOptions horizontalCentered="1"/>
  <pageMargins left="0.19685039370078741" right="0.19685039370078741" top="0.15748031496062992" bottom="0.23622047244094491" header="0.15748031496062992" footer="0.23622047244094491"/>
  <pageSetup paperSize="9" scale="4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0"/>
  <sheetViews>
    <sheetView topLeftCell="A10" zoomScale="110" zoomScaleNormal="110" workbookViewId="0">
      <selection activeCell="M10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8" style="5" customWidth="1"/>
    <col min="3" max="3" width="22" style="82" customWidth="1"/>
    <col min="4" max="4" width="9.140625" style="82" customWidth="1"/>
    <col min="5" max="5" width="10.28515625" style="82" customWidth="1"/>
    <col min="6" max="6" width="10.140625" style="5" customWidth="1"/>
    <col min="7" max="7" width="10.42578125" style="5" customWidth="1"/>
    <col min="8" max="8" width="10.5703125" style="5" customWidth="1"/>
    <col min="9" max="9" width="10.7109375" style="5" bestFit="1" customWidth="1"/>
    <col min="10" max="12" width="9.140625" style="5"/>
    <col min="13" max="13" width="13.42578125" style="310" customWidth="1"/>
    <col min="14" max="14" width="15.285156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0.25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8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121</v>
      </c>
      <c r="E5" s="234"/>
    </row>
    <row r="6" spans="1:9" x14ac:dyDescent="0.25">
      <c r="B6" s="10" t="s">
        <v>1</v>
      </c>
      <c r="C6" s="48"/>
      <c r="D6" s="207">
        <v>1961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15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122</v>
      </c>
      <c r="E9" s="207"/>
    </row>
    <row r="10" spans="1:9" collapsed="1" x14ac:dyDescent="0.25">
      <c r="B10" s="10" t="s">
        <v>5</v>
      </c>
      <c r="C10" s="48"/>
      <c r="D10" s="207" t="s">
        <v>264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123</v>
      </c>
      <c r="E12" s="208"/>
      <c r="I12" s="17"/>
    </row>
    <row r="13" spans="1:9" ht="7.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9.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546698.07999999996</v>
      </c>
      <c r="D16" s="253"/>
      <c r="E16" s="224">
        <v>390781.43</v>
      </c>
      <c r="F16" s="225"/>
      <c r="G16" s="224">
        <v>155916.65</v>
      </c>
      <c r="H16" s="226"/>
      <c r="I16" s="17"/>
    </row>
    <row r="17" spans="2:15" x14ac:dyDescent="0.25">
      <c r="B17" s="94" t="s">
        <v>16</v>
      </c>
      <c r="C17" s="220">
        <v>505359.10999999993</v>
      </c>
      <c r="D17" s="221"/>
      <c r="E17" s="220">
        <v>361409.55999999994</v>
      </c>
      <c r="F17" s="221"/>
      <c r="G17" s="220">
        <v>143949.54999999999</v>
      </c>
      <c r="H17" s="251"/>
      <c r="I17" s="17"/>
    </row>
    <row r="18" spans="2:15" x14ac:dyDescent="0.25">
      <c r="B18" s="95" t="s">
        <v>189</v>
      </c>
      <c r="C18" s="220">
        <v>557083.38500000001</v>
      </c>
      <c r="D18" s="221"/>
      <c r="E18" s="246">
        <v>400672.38500000001</v>
      </c>
      <c r="F18" s="247"/>
      <c r="G18" s="246">
        <v>156411</v>
      </c>
      <c r="H18" s="252"/>
      <c r="I18" s="17"/>
    </row>
    <row r="19" spans="2:15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5" ht="25.5" thickBot="1" x14ac:dyDescent="0.3">
      <c r="B20" s="97" t="s">
        <v>297</v>
      </c>
      <c r="C20" s="216">
        <f>E20+G20</f>
        <v>-40924.275000000081</v>
      </c>
      <c r="D20" s="217"/>
      <c r="E20" s="248">
        <f>E17+E19-E18</f>
        <v>-28462.82500000007</v>
      </c>
      <c r="F20" s="254"/>
      <c r="G20" s="248">
        <f>G17-G18</f>
        <v>-12461.450000000012</v>
      </c>
      <c r="H20" s="249"/>
      <c r="I20" s="17"/>
    </row>
    <row r="21" spans="2:15" x14ac:dyDescent="0.25">
      <c r="B21" s="83"/>
      <c r="C21" s="83"/>
      <c r="D21" s="84"/>
      <c r="E21" s="85"/>
      <c r="F21" s="85"/>
      <c r="G21" s="85"/>
      <c r="H21" s="85"/>
      <c r="I21" s="17"/>
    </row>
    <row r="22" spans="2:15" ht="1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L22" s="17"/>
      <c r="M22" s="312" t="s">
        <v>301</v>
      </c>
      <c r="N22" s="312" t="s">
        <v>302</v>
      </c>
    </row>
    <row r="23" spans="2:15" ht="32.25" customHeight="1" x14ac:dyDescent="0.25">
      <c r="B23" s="263" t="s">
        <v>196</v>
      </c>
      <c r="C23" s="237" t="s">
        <v>197</v>
      </c>
      <c r="D23" s="237" t="s">
        <v>210</v>
      </c>
      <c r="E23" s="239" t="s">
        <v>325</v>
      </c>
      <c r="F23" s="241" t="s">
        <v>199</v>
      </c>
      <c r="G23" s="242"/>
      <c r="H23" s="243" t="s">
        <v>227</v>
      </c>
      <c r="L23" s="17"/>
      <c r="M23" s="313"/>
      <c r="N23" s="313"/>
    </row>
    <row r="24" spans="2:15" ht="53.25" customHeight="1" thickBot="1" x14ac:dyDescent="0.3">
      <c r="B24" s="264"/>
      <c r="C24" s="238"/>
      <c r="D24" s="238"/>
      <c r="E24" s="240"/>
      <c r="F24" s="19" t="s">
        <v>187</v>
      </c>
      <c r="G24" s="20" t="s">
        <v>188</v>
      </c>
      <c r="H24" s="244"/>
      <c r="M24" s="314">
        <v>61262.27</v>
      </c>
      <c r="N24" s="314">
        <f>M24*1.01</f>
        <v>61874.892699999997</v>
      </c>
    </row>
    <row r="25" spans="2:15" ht="56.25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6178.6875547098007</v>
      </c>
      <c r="G25" s="24">
        <f>$N$24/$N$25*E25</f>
        <v>6240.4744302568988</v>
      </c>
      <c r="H25" s="25">
        <f>F25-G25</f>
        <v>-61.786875547098134</v>
      </c>
      <c r="I25" s="60"/>
      <c r="J25" s="27"/>
      <c r="K25" s="27"/>
      <c r="L25" s="28"/>
      <c r="M25" s="315">
        <f>E34-E32</f>
        <v>10.51</v>
      </c>
      <c r="N25" s="315">
        <f>E34-E32</f>
        <v>10.51</v>
      </c>
      <c r="O25" s="27"/>
    </row>
    <row r="26" spans="2:15" ht="56.25" x14ac:dyDescent="0.25">
      <c r="B26" s="29" t="s">
        <v>202</v>
      </c>
      <c r="C26" s="8" t="s">
        <v>223</v>
      </c>
      <c r="D26" s="22" t="s">
        <v>201</v>
      </c>
      <c r="E26" s="99">
        <v>0</v>
      </c>
      <c r="F26" s="23">
        <f>$M$24/$M$25*E26</f>
        <v>0</v>
      </c>
      <c r="G26" s="6">
        <f>$N$24/$N$25*E26</f>
        <v>0</v>
      </c>
      <c r="H26" s="25">
        <f t="shared" ref="H26:H31" si="0">F26-G26</f>
        <v>0</v>
      </c>
      <c r="I26" s="61"/>
      <c r="J26" s="4"/>
      <c r="K26" s="4"/>
      <c r="L26" s="4"/>
      <c r="M26" s="316"/>
      <c r="N26" s="316"/>
      <c r="O26" s="4"/>
    </row>
    <row r="27" spans="2:15" ht="56.25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1865.2641674595623</v>
      </c>
      <c r="G27" s="6">
        <f t="shared" ref="G27:G30" si="2">$N$24/$N$25*E27</f>
        <v>1883.916809134158</v>
      </c>
      <c r="H27" s="25">
        <f t="shared" si="0"/>
        <v>-18.65264167459577</v>
      </c>
      <c r="I27" s="44"/>
      <c r="L27" s="17"/>
    </row>
    <row r="28" spans="2:15" ht="25.5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485.74587694259429</v>
      </c>
      <c r="G28" s="6">
        <f>($N$24/12*2)/$N$25*E28</f>
        <v>490.60333571202028</v>
      </c>
      <c r="H28" s="25">
        <f t="shared" si="0"/>
        <v>-4.857458769425989</v>
      </c>
      <c r="I28" s="44"/>
      <c r="L28" s="17"/>
    </row>
    <row r="29" spans="2:15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6878.1616175071358</v>
      </c>
      <c r="G29" s="6">
        <f t="shared" si="2"/>
        <v>6946.9432336822074</v>
      </c>
      <c r="H29" s="25">
        <f t="shared" si="0"/>
        <v>-68.781616175071576</v>
      </c>
      <c r="I29" s="44"/>
    </row>
    <row r="30" spans="2:15" ht="244.5" customHeight="1" x14ac:dyDescent="0.25">
      <c r="B30" s="29" t="s">
        <v>219</v>
      </c>
      <c r="C30" s="32" t="s">
        <v>204</v>
      </c>
      <c r="D30" s="22" t="s">
        <v>201</v>
      </c>
      <c r="E30" s="99">
        <v>5.61</v>
      </c>
      <c r="F30" s="23">
        <f t="shared" si="1"/>
        <v>32700.412435775452</v>
      </c>
      <c r="G30" s="6">
        <f t="shared" si="2"/>
        <v>33027.416560133206</v>
      </c>
      <c r="H30" s="25">
        <f t="shared" si="0"/>
        <v>-327.00412435775434</v>
      </c>
      <c r="I30" s="61"/>
      <c r="J30" s="4"/>
      <c r="K30" s="4"/>
      <c r="L30" s="3"/>
      <c r="M30" s="316"/>
      <c r="N30" s="316"/>
    </row>
    <row r="31" spans="2:15" ht="107.2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1107.500599429115</v>
      </c>
      <c r="G31" s="6">
        <f t="shared" ref="G31" si="3">$N$24/$N$25*E31</f>
        <v>1118.5756054234064</v>
      </c>
      <c r="H31" s="25">
        <f t="shared" si="0"/>
        <v>-11.075005994291359</v>
      </c>
      <c r="I31" s="44"/>
    </row>
    <row r="32" spans="2:15" ht="56.25" x14ac:dyDescent="0.25">
      <c r="B32" s="30" t="s">
        <v>206</v>
      </c>
      <c r="C32" s="8" t="s">
        <v>223</v>
      </c>
      <c r="D32" s="22" t="s">
        <v>201</v>
      </c>
      <c r="E32" s="99">
        <v>4.25</v>
      </c>
      <c r="F32" s="23">
        <v>26758.959999999999</v>
      </c>
      <c r="G32" s="6">
        <v>7577</v>
      </c>
      <c r="H32" s="25">
        <f>F32-G32</f>
        <v>19181.96</v>
      </c>
      <c r="I32" s="44"/>
      <c r="L32" s="17"/>
    </row>
    <row r="33" spans="2:15" ht="16.5" thickBot="1" x14ac:dyDescent="0.3">
      <c r="B33" s="51" t="s">
        <v>186</v>
      </c>
      <c r="C33" s="52" t="s">
        <v>204</v>
      </c>
      <c r="D33" s="53" t="s">
        <v>201</v>
      </c>
      <c r="E33" s="103">
        <f>0.8+0.85</f>
        <v>1.65</v>
      </c>
      <c r="F33" s="23">
        <f t="shared" si="1"/>
        <v>9617.7683634633668</v>
      </c>
      <c r="G33" s="6">
        <f t="shared" ref="G33" si="4">$N$24/$N$25*E33</f>
        <v>9713.9460470980011</v>
      </c>
      <c r="H33" s="33">
        <f>F33-G33</f>
        <v>-96.177683634634377</v>
      </c>
      <c r="I33" s="44"/>
    </row>
    <row r="34" spans="2:15" ht="16.5" thickBot="1" x14ac:dyDescent="0.3">
      <c r="B34" s="54" t="s">
        <v>190</v>
      </c>
      <c r="C34" s="55"/>
      <c r="D34" s="55"/>
      <c r="E34" s="101">
        <f>SUM(E25:E33)</f>
        <v>14.76</v>
      </c>
      <c r="F34" s="56">
        <f>SUM(F25:F33)</f>
        <v>85592.500615287019</v>
      </c>
      <c r="G34" s="57">
        <f>SUM(G25:G33)</f>
        <v>66998.876021439894</v>
      </c>
      <c r="H34" s="38">
        <f>SUM(H25:H33)</f>
        <v>18593.624593847126</v>
      </c>
      <c r="I34" s="62"/>
    </row>
    <row r="35" spans="2:15" x14ac:dyDescent="0.25">
      <c r="B35" s="17"/>
      <c r="C35" s="17"/>
      <c r="D35" s="17"/>
      <c r="E35" s="86"/>
      <c r="F35" s="82"/>
      <c r="G35" s="86"/>
      <c r="H35" s="82"/>
      <c r="O35" s="82"/>
    </row>
    <row r="36" spans="2:15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5" ht="4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43"/>
      <c r="M37" s="317"/>
      <c r="N37" s="317"/>
    </row>
    <row r="38" spans="2:15" x14ac:dyDescent="0.25">
      <c r="B38" s="93" t="s">
        <v>15</v>
      </c>
      <c r="C38" s="222">
        <f>E38+G38</f>
        <v>632290.58061528695</v>
      </c>
      <c r="D38" s="223"/>
      <c r="E38" s="224">
        <f>F25+F26+F27+F28+F29+F30+F31+F33+E16</f>
        <v>449614.97061528702</v>
      </c>
      <c r="F38" s="225"/>
      <c r="G38" s="224">
        <f>F32+G16</f>
        <v>182675.61</v>
      </c>
      <c r="H38" s="226"/>
      <c r="I38" s="76"/>
      <c r="J38" s="77"/>
      <c r="K38" s="9"/>
      <c r="L38" s="9"/>
      <c r="M38" s="318"/>
    </row>
    <row r="39" spans="2:15" x14ac:dyDescent="0.25">
      <c r="B39" s="94" t="s">
        <v>16</v>
      </c>
      <c r="C39" s="220">
        <f>E39+G39</f>
        <v>621603.37999999989</v>
      </c>
      <c r="D39" s="221"/>
      <c r="E39" s="220">
        <f>E17+80905.35</f>
        <v>442314.90999999992</v>
      </c>
      <c r="F39" s="221"/>
      <c r="G39" s="220">
        <f>G17+35338.92</f>
        <v>179288.46999999997</v>
      </c>
      <c r="H39" s="251"/>
      <c r="I39" s="76"/>
      <c r="J39" s="77"/>
      <c r="K39" s="12"/>
      <c r="L39" s="9"/>
      <c r="M39" s="318"/>
    </row>
    <row r="40" spans="2:15" x14ac:dyDescent="0.25">
      <c r="B40" s="95" t="s">
        <v>189</v>
      </c>
      <c r="C40" s="220">
        <f>E40+G40</f>
        <v>624082.26102143992</v>
      </c>
      <c r="D40" s="221"/>
      <c r="E40" s="246">
        <f>G25+G26+G27+G28+G29+G30+G31+G33+E18</f>
        <v>460094.26102143992</v>
      </c>
      <c r="F40" s="247"/>
      <c r="G40" s="246">
        <f>G32+G18</f>
        <v>163988</v>
      </c>
      <c r="H40" s="252"/>
      <c r="I40" s="76"/>
      <c r="J40" s="77"/>
      <c r="K40" s="44"/>
      <c r="L40" s="44"/>
    </row>
    <row r="41" spans="2:15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76"/>
      <c r="J41" s="77"/>
      <c r="K41" s="44"/>
      <c r="L41" s="44"/>
    </row>
    <row r="42" spans="2:15" ht="25.5" thickBot="1" x14ac:dyDescent="0.3">
      <c r="B42" s="97" t="s">
        <v>298</v>
      </c>
      <c r="C42" s="216">
        <f>E42+G42</f>
        <v>11921.118978559971</v>
      </c>
      <c r="D42" s="217"/>
      <c r="E42" s="248">
        <f>E39+E41-E40</f>
        <v>-3379.3510214400012</v>
      </c>
      <c r="F42" s="254"/>
      <c r="G42" s="248">
        <f>G39-G40</f>
        <v>15300.469999999972</v>
      </c>
      <c r="H42" s="249"/>
      <c r="I42" s="76"/>
      <c r="J42" s="77"/>
      <c r="K42" s="44"/>
      <c r="L42" s="44"/>
    </row>
    <row r="43" spans="2:15" ht="27.7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1"/>
      <c r="G44" s="231"/>
      <c r="H44" s="78"/>
      <c r="I44" s="78"/>
      <c r="J44" s="4"/>
      <c r="K44" s="4"/>
      <c r="L44" s="4"/>
      <c r="M44" s="316"/>
      <c r="N44" s="316"/>
      <c r="O44" s="4"/>
    </row>
    <row r="45" spans="2:15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78"/>
      <c r="I45" s="78"/>
      <c r="J45" s="4"/>
      <c r="K45" s="4"/>
      <c r="L45" s="4"/>
      <c r="M45" s="316"/>
      <c r="N45" s="316"/>
      <c r="O45" s="4"/>
    </row>
    <row r="46" spans="2:15" ht="9.75" customHeight="1" x14ac:dyDescent="0.25">
      <c r="B46" s="205"/>
      <c r="C46" s="205"/>
      <c r="D46" s="205"/>
      <c r="E46" s="209"/>
      <c r="F46" s="230"/>
      <c r="G46" s="230"/>
      <c r="H46" s="78"/>
      <c r="I46" s="78"/>
    </row>
    <row r="47" spans="2:15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0.5" customHeight="1" x14ac:dyDescent="0.25">
      <c r="B48" s="45"/>
      <c r="C48" s="45"/>
      <c r="D48" s="45"/>
      <c r="E48" s="209"/>
      <c r="F48" s="46"/>
      <c r="G48" s="47"/>
      <c r="H48" s="48"/>
      <c r="I48" s="10"/>
    </row>
    <row r="49" spans="2:9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78"/>
      <c r="I49" s="78"/>
    </row>
    <row r="50" spans="2:9" ht="9.75" customHeight="1" x14ac:dyDescent="0.25">
      <c r="C50" s="13"/>
      <c r="E50" s="209"/>
    </row>
  </sheetData>
  <mergeCells count="60">
    <mergeCell ref="M22:M23"/>
    <mergeCell ref="N22:N23"/>
    <mergeCell ref="C37:D37"/>
    <mergeCell ref="C38:D38"/>
    <mergeCell ref="C39:D39"/>
    <mergeCell ref="B36:H36"/>
    <mergeCell ref="E37:F37"/>
    <mergeCell ref="G37:H37"/>
    <mergeCell ref="E38:F38"/>
    <mergeCell ref="G38:H38"/>
    <mergeCell ref="E39:F39"/>
    <mergeCell ref="G39:H39"/>
    <mergeCell ref="C15:D15"/>
    <mergeCell ref="C16:D16"/>
    <mergeCell ref="C17:D17"/>
    <mergeCell ref="C18:D18"/>
    <mergeCell ref="C19:D19"/>
    <mergeCell ref="C20:D20"/>
    <mergeCell ref="E16:F16"/>
    <mergeCell ref="G16:H16"/>
    <mergeCell ref="E17:F17"/>
    <mergeCell ref="G17:H17"/>
    <mergeCell ref="E20:F20"/>
    <mergeCell ref="G20:H20"/>
    <mergeCell ref="E18:F18"/>
    <mergeCell ref="G18:H18"/>
    <mergeCell ref="E19:F19"/>
    <mergeCell ref="G19:H19"/>
    <mergeCell ref="C41:D41"/>
    <mergeCell ref="C42:D42"/>
    <mergeCell ref="G42:H42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C45:E45"/>
    <mergeCell ref="C47:E47"/>
    <mergeCell ref="C49:E49"/>
    <mergeCell ref="E40:F40"/>
    <mergeCell ref="E42:F42"/>
    <mergeCell ref="F49:G49"/>
    <mergeCell ref="F44:G44"/>
    <mergeCell ref="F46:G46"/>
    <mergeCell ref="F47:G47"/>
    <mergeCell ref="F45:G45"/>
    <mergeCell ref="G40:H40"/>
    <mergeCell ref="F43:G43"/>
    <mergeCell ref="E41:F41"/>
    <mergeCell ref="G41:H41"/>
    <mergeCell ref="C43:E43"/>
    <mergeCell ref="C40:D40"/>
  </mergeCells>
  <printOptions horizontalCentered="1"/>
  <pageMargins left="0.19685039370078741" right="0.19685039370078741" top="0.31496062992125984" bottom="0.31496062992125984" header="0.31496062992125984" footer="0.31496062992125984"/>
  <pageSetup paperSize="9" scale="4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13" zoomScale="110" zoomScaleNormal="110" workbookViewId="0">
      <selection activeCell="M13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42578125" style="5" customWidth="1"/>
    <col min="3" max="3" width="23.5703125" style="82" customWidth="1"/>
    <col min="4" max="4" width="10.140625" style="82" customWidth="1"/>
    <col min="5" max="5" width="10.28515625" style="82" customWidth="1"/>
    <col min="6" max="6" width="8.7109375" style="5" customWidth="1"/>
    <col min="7" max="7" width="10.42578125" style="5" customWidth="1"/>
    <col min="8" max="8" width="11" style="5" customWidth="1"/>
    <col min="9" max="9" width="10.7109375" style="5" bestFit="1" customWidth="1"/>
    <col min="10" max="12" width="9.140625" style="5"/>
    <col min="13" max="13" width="14.5703125" style="310" customWidth="1"/>
    <col min="14" max="14" width="16.285156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4.2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124</v>
      </c>
      <c r="E5" s="234"/>
    </row>
    <row r="6" spans="1:9" x14ac:dyDescent="0.25">
      <c r="B6" s="10" t="s">
        <v>1</v>
      </c>
      <c r="C6" s="48"/>
      <c r="D6" s="207">
        <v>1960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7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125</v>
      </c>
      <c r="E9" s="207"/>
    </row>
    <row r="10" spans="1:9" collapsed="1" x14ac:dyDescent="0.25">
      <c r="B10" s="10" t="s">
        <v>5</v>
      </c>
      <c r="C10" s="48"/>
      <c r="D10" s="207" t="s">
        <v>265</v>
      </c>
      <c r="E10" s="207"/>
      <c r="I10" s="17"/>
    </row>
    <row r="11" spans="1:9" hidden="1" outlineLevel="1" x14ac:dyDescent="0.25">
      <c r="B11" s="5" t="s">
        <v>6</v>
      </c>
      <c r="D11" s="208" t="s">
        <v>107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128</v>
      </c>
      <c r="E12" s="208"/>
      <c r="I12" s="17"/>
    </row>
    <row r="13" spans="1:9" ht="10.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6.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327399.56</v>
      </c>
      <c r="D16" s="253"/>
      <c r="E16" s="224">
        <v>232735.94</v>
      </c>
      <c r="F16" s="225"/>
      <c r="G16" s="224">
        <v>94663.62</v>
      </c>
      <c r="H16" s="226"/>
      <c r="I16" s="17"/>
    </row>
    <row r="17" spans="2:15" x14ac:dyDescent="0.25">
      <c r="B17" s="94" t="s">
        <v>16</v>
      </c>
      <c r="C17" s="220">
        <v>317362.92</v>
      </c>
      <c r="D17" s="221"/>
      <c r="E17" s="220">
        <v>225788.96</v>
      </c>
      <c r="F17" s="221"/>
      <c r="G17" s="220">
        <v>91573.96</v>
      </c>
      <c r="H17" s="251"/>
      <c r="I17" s="17"/>
    </row>
    <row r="18" spans="2:15" ht="16.5" thickBot="1" x14ac:dyDescent="0.3">
      <c r="B18" s="95" t="s">
        <v>189</v>
      </c>
      <c r="C18" s="220">
        <v>269167.03840000002</v>
      </c>
      <c r="D18" s="221"/>
      <c r="E18" s="246">
        <v>233574.03840000002</v>
      </c>
      <c r="F18" s="247"/>
      <c r="G18" s="246">
        <v>35593</v>
      </c>
      <c r="H18" s="252"/>
      <c r="I18" s="17"/>
    </row>
    <row r="19" spans="2:15" ht="29.25" customHeight="1" thickBot="1" x14ac:dyDescent="0.3">
      <c r="B19" s="97" t="s">
        <v>297</v>
      </c>
      <c r="C19" s="216">
        <f>E19+G19</f>
        <v>48195.881599999979</v>
      </c>
      <c r="D19" s="217"/>
      <c r="E19" s="248">
        <f>E17-E18</f>
        <v>-7785.0784000000276</v>
      </c>
      <c r="F19" s="254"/>
      <c r="G19" s="248">
        <f>G17-G18</f>
        <v>55980.960000000006</v>
      </c>
      <c r="H19" s="249"/>
      <c r="I19" s="17"/>
    </row>
    <row r="20" spans="2:15" x14ac:dyDescent="0.25">
      <c r="B20" s="14"/>
      <c r="C20" s="79"/>
      <c r="D20" s="91"/>
      <c r="E20" s="208"/>
      <c r="I20" s="17"/>
    </row>
    <row r="21" spans="2:15" ht="19.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39974.519999999997</v>
      </c>
      <c r="N23" s="314">
        <f>M23*1.01</f>
        <v>40374.265199999994</v>
      </c>
    </row>
    <row r="24" spans="2:15" ht="51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3803.6796409335734</v>
      </c>
      <c r="G24" s="24">
        <f>$N$23/$N$24*E24</f>
        <v>3841.7164373429086</v>
      </c>
      <c r="H24" s="25">
        <f>F24-G24</f>
        <v>-38.036796409335238</v>
      </c>
      <c r="I24" s="60"/>
      <c r="J24" s="27"/>
      <c r="K24" s="27"/>
      <c r="L24" s="28"/>
      <c r="M24" s="315">
        <f>E33-E31</f>
        <v>11.139999999999999</v>
      </c>
      <c r="N24" s="315">
        <f>E33-E31</f>
        <v>11.139999999999999</v>
      </c>
      <c r="O24" s="27"/>
    </row>
    <row r="25" spans="2:15" ht="51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4270.1686535008976</v>
      </c>
      <c r="G25" s="6">
        <f>$N$23/$N$24*E25</f>
        <v>4312.8703400359063</v>
      </c>
      <c r="H25" s="25">
        <f t="shared" ref="H25:H30" si="0">F25-G25</f>
        <v>-42.701686535008776</v>
      </c>
      <c r="I25" s="61"/>
      <c r="J25" s="4"/>
      <c r="K25" s="4"/>
      <c r="L25" s="4"/>
      <c r="M25" s="316"/>
      <c r="N25" s="316"/>
      <c r="O25" s="4"/>
    </row>
    <row r="26" spans="2:15" ht="4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1148.2806463195693</v>
      </c>
      <c r="G26" s="6">
        <f t="shared" ref="G26:G29" si="2">$N$23/$N$24*E26</f>
        <v>1159.7634527827647</v>
      </c>
      <c r="H26" s="25">
        <f t="shared" si="0"/>
        <v>-11.482806463195402</v>
      </c>
      <c r="I26" s="44"/>
      <c r="L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299.03141831238781</v>
      </c>
      <c r="G27" s="6">
        <f>($N$23/12*2)/$N$24*E27</f>
        <v>302.02173249551169</v>
      </c>
      <c r="H27" s="25">
        <f t="shared" si="0"/>
        <v>-2.9903141831238713</v>
      </c>
      <c r="I27" s="44"/>
      <c r="L27" s="17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4234.2848833034113</v>
      </c>
      <c r="G28" s="6">
        <f t="shared" si="2"/>
        <v>4276.627732136445</v>
      </c>
      <c r="H28" s="25">
        <f t="shared" si="0"/>
        <v>-42.342848833033713</v>
      </c>
      <c r="I28" s="44"/>
    </row>
    <row r="29" spans="2:15" ht="216.7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20130.795080789951</v>
      </c>
      <c r="G29" s="6">
        <f t="shared" si="2"/>
        <v>20332.103031597846</v>
      </c>
      <c r="H29" s="25">
        <f t="shared" si="0"/>
        <v>-201.30795080789539</v>
      </c>
      <c r="I29" s="61"/>
      <c r="J29" s="4"/>
      <c r="K29" s="4"/>
      <c r="L29" s="3"/>
      <c r="M29" s="316"/>
      <c r="N29" s="316"/>
    </row>
    <row r="30" spans="2:15" ht="107.2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681.79163375224425</v>
      </c>
      <c r="G30" s="6">
        <f t="shared" ref="G30" si="3">$N$23/$N$24*E30</f>
        <v>688.60955008976657</v>
      </c>
      <c r="H30" s="25">
        <f t="shared" si="0"/>
        <v>-6.8179163375223197</v>
      </c>
      <c r="I30" s="44"/>
    </row>
    <row r="31" spans="2:15" ht="45" x14ac:dyDescent="0.25">
      <c r="B31" s="30" t="s">
        <v>206</v>
      </c>
      <c r="C31" s="8" t="s">
        <v>223</v>
      </c>
      <c r="D31" s="22" t="s">
        <v>201</v>
      </c>
      <c r="E31" s="99">
        <v>4.25</v>
      </c>
      <c r="F31" s="23">
        <v>16414.66</v>
      </c>
      <c r="G31" s="6">
        <v>10041</v>
      </c>
      <c r="H31" s="25">
        <f>F31-G31</f>
        <v>6373.66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0.8+0.29</f>
        <v>1.0900000000000001</v>
      </c>
      <c r="F32" s="23">
        <f t="shared" si="1"/>
        <v>3911.330951526033</v>
      </c>
      <c r="G32" s="6">
        <f t="shared" ref="G32" si="4">$N$23/$N$24*E32</f>
        <v>3950.444261041293</v>
      </c>
      <c r="H32" s="33">
        <f>F32-G32</f>
        <v>-39.113309515259971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15.389999999999999</v>
      </c>
      <c r="F33" s="56">
        <f>SUM(F24:F32)</f>
        <v>54894.02290843807</v>
      </c>
      <c r="G33" s="57">
        <f>SUM(G24:G32)</f>
        <v>48905.156537522445</v>
      </c>
      <c r="H33" s="38">
        <f>SUM(H24:H32)</f>
        <v>5988.8663709156253</v>
      </c>
      <c r="I33" s="62"/>
    </row>
    <row r="34" spans="2:15" x14ac:dyDescent="0.25">
      <c r="B34" s="17"/>
      <c r="C34" s="17"/>
      <c r="D34" s="17"/>
      <c r="E34" s="86"/>
      <c r="F34" s="82"/>
      <c r="G34" s="86"/>
      <c r="H34" s="82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40.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382293.58290843805</v>
      </c>
      <c r="D37" s="223"/>
      <c r="E37" s="224">
        <f>F24+F25+F26+F27+F28+F29+F30+F32+E16</f>
        <v>271215.30290843808</v>
      </c>
      <c r="F37" s="225"/>
      <c r="G37" s="224">
        <f>F31+G16</f>
        <v>111078.28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360829.25</v>
      </c>
      <c r="D38" s="221"/>
      <c r="E38" s="220">
        <f>E17+30813.46</f>
        <v>256602.41999999998</v>
      </c>
      <c r="F38" s="221"/>
      <c r="G38" s="220">
        <f>G17+12652.87</f>
        <v>104226.83</v>
      </c>
      <c r="H38" s="251"/>
      <c r="I38" s="76"/>
      <c r="J38" s="77"/>
      <c r="K38" s="12"/>
      <c r="L38" s="9"/>
      <c r="M38" s="318"/>
    </row>
    <row r="39" spans="2:15" ht="16.5" thickBot="1" x14ac:dyDescent="0.3">
      <c r="B39" s="95" t="s">
        <v>189</v>
      </c>
      <c r="C39" s="227">
        <f>E39+G39</f>
        <v>318072.19493752246</v>
      </c>
      <c r="D39" s="228"/>
      <c r="E39" s="246">
        <f>G24+G25+G26+G27+G28+G29+G30+G32+E18</f>
        <v>272438.19493752246</v>
      </c>
      <c r="F39" s="247"/>
      <c r="G39" s="246">
        <f>G31+G18</f>
        <v>45634</v>
      </c>
      <c r="H39" s="252"/>
      <c r="I39" s="76"/>
      <c r="J39" s="77"/>
      <c r="K39" s="44"/>
      <c r="L39" s="44"/>
    </row>
    <row r="40" spans="2:15" ht="28.5" customHeight="1" thickBot="1" x14ac:dyDescent="0.3">
      <c r="B40" s="97" t="s">
        <v>298</v>
      </c>
      <c r="C40" s="216">
        <f>E40+G40</f>
        <v>42757.055062477521</v>
      </c>
      <c r="D40" s="217"/>
      <c r="E40" s="248">
        <f>E38-E39</f>
        <v>-15835.774937522481</v>
      </c>
      <c r="F40" s="254"/>
      <c r="G40" s="248">
        <f>G38-G39</f>
        <v>58592.83</v>
      </c>
      <c r="H40" s="249"/>
      <c r="I40" s="76"/>
      <c r="J40" s="77"/>
      <c r="K40" s="44"/>
      <c r="L40" s="44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4"/>
      <c r="M41" s="316"/>
      <c r="N41" s="316"/>
      <c r="O41" s="4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4"/>
      <c r="M42" s="316"/>
      <c r="N42" s="316"/>
      <c r="O42" s="4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1.25" customHeight="1" x14ac:dyDescent="0.25">
      <c r="C48" s="13"/>
      <c r="E48" s="209"/>
    </row>
  </sheetData>
  <mergeCells count="54">
    <mergeCell ref="M21:M22"/>
    <mergeCell ref="N21:N22"/>
    <mergeCell ref="C36:D36"/>
    <mergeCell ref="C37:D37"/>
    <mergeCell ref="C38:D38"/>
    <mergeCell ref="E38:F38"/>
    <mergeCell ref="G38:H38"/>
    <mergeCell ref="B35:H35"/>
    <mergeCell ref="E36:F36"/>
    <mergeCell ref="G36:H36"/>
    <mergeCell ref="E37:F37"/>
    <mergeCell ref="G37:H37"/>
    <mergeCell ref="C15:D15"/>
    <mergeCell ref="C16:D16"/>
    <mergeCell ref="C17:D17"/>
    <mergeCell ref="C18:D18"/>
    <mergeCell ref="C19:D19"/>
    <mergeCell ref="G19:H19"/>
    <mergeCell ref="E16:F16"/>
    <mergeCell ref="G16:H16"/>
    <mergeCell ref="E17:F17"/>
    <mergeCell ref="G17:H17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8:F18"/>
    <mergeCell ref="G18:H18"/>
    <mergeCell ref="E19:F19"/>
    <mergeCell ref="C41:E41"/>
    <mergeCell ref="C43:E43"/>
    <mergeCell ref="C45:E45"/>
    <mergeCell ref="C47:E47"/>
    <mergeCell ref="G39:H39"/>
    <mergeCell ref="G40:H40"/>
    <mergeCell ref="F47:G47"/>
    <mergeCell ref="F44:G44"/>
    <mergeCell ref="F45:G45"/>
    <mergeCell ref="F43:G43"/>
    <mergeCell ref="F41:G41"/>
    <mergeCell ref="F42:G42"/>
    <mergeCell ref="C39:D39"/>
    <mergeCell ref="C40:D40"/>
    <mergeCell ref="E40:F40"/>
    <mergeCell ref="E39:F39"/>
  </mergeCells>
  <printOptions horizontalCentered="1"/>
  <pageMargins left="0.19685039370078741" right="0.39370078740157483" top="0.15748031496062992" bottom="0.23622047244094491" header="0.31496062992125984" footer="0.31496062992125984"/>
  <pageSetup paperSize="9" scale="4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0"/>
  <sheetViews>
    <sheetView topLeftCell="A13" zoomScale="110" zoomScaleNormal="110" workbookViewId="0">
      <selection activeCell="I30" sqref="I30"/>
    </sheetView>
  </sheetViews>
  <sheetFormatPr defaultColWidth="9.140625" defaultRowHeight="15.75" outlineLevelRow="1" x14ac:dyDescent="0.25"/>
  <cols>
    <col min="1" max="1" width="2.85546875" style="5" customWidth="1"/>
    <col min="2" max="2" width="56.42578125" style="5" customWidth="1"/>
    <col min="3" max="3" width="22.28515625" style="82" customWidth="1"/>
    <col min="4" max="4" width="9.42578125" style="82" customWidth="1"/>
    <col min="5" max="5" width="10.28515625" style="82" customWidth="1"/>
    <col min="6" max="6" width="10" style="5" customWidth="1"/>
    <col min="7" max="7" width="10.5703125" style="5" customWidth="1"/>
    <col min="8" max="8" width="11" style="5" customWidth="1"/>
    <col min="9" max="9" width="10.7109375" style="5" bestFit="1" customWidth="1"/>
    <col min="10" max="12" width="9.140625" style="5"/>
    <col min="13" max="13" width="13.7109375" style="310" customWidth="1"/>
    <col min="14" max="14" width="14.1406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126</v>
      </c>
      <c r="E5" s="234"/>
    </row>
    <row r="6" spans="1:9" x14ac:dyDescent="0.25">
      <c r="B6" s="10" t="s">
        <v>1</v>
      </c>
      <c r="C6" s="48"/>
      <c r="D6" s="207">
        <v>1961</v>
      </c>
      <c r="E6" s="207"/>
    </row>
    <row r="7" spans="1:9" ht="15" hidden="1" customHeight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16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127</v>
      </c>
      <c r="E9" s="207"/>
    </row>
    <row r="10" spans="1:9" collapsed="1" x14ac:dyDescent="0.25">
      <c r="B10" s="10" t="s">
        <v>5</v>
      </c>
      <c r="C10" s="48"/>
      <c r="D10" s="207" t="s">
        <v>266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129</v>
      </c>
      <c r="E12" s="208"/>
      <c r="I12" s="17"/>
    </row>
    <row r="13" spans="1:9" ht="9.7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3.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666075.23</v>
      </c>
      <c r="D16" s="223"/>
      <c r="E16" s="222">
        <v>459556.77</v>
      </c>
      <c r="F16" s="223"/>
      <c r="G16" s="222">
        <v>206518.46000000002</v>
      </c>
      <c r="H16" s="256"/>
      <c r="I16" s="17"/>
    </row>
    <row r="17" spans="2:15" x14ac:dyDescent="0.25">
      <c r="B17" s="94" t="s">
        <v>16</v>
      </c>
      <c r="C17" s="220">
        <v>623057.02</v>
      </c>
      <c r="D17" s="221"/>
      <c r="E17" s="220">
        <v>430491.74999999994</v>
      </c>
      <c r="F17" s="221"/>
      <c r="G17" s="220">
        <v>192565.27000000002</v>
      </c>
      <c r="H17" s="251"/>
      <c r="I17" s="17"/>
    </row>
    <row r="18" spans="2:15" x14ac:dyDescent="0.25">
      <c r="B18" s="95" t="s">
        <v>189</v>
      </c>
      <c r="C18" s="220">
        <v>645163.06700000004</v>
      </c>
      <c r="D18" s="221"/>
      <c r="E18" s="220">
        <v>469452.06700000004</v>
      </c>
      <c r="F18" s="221"/>
      <c r="G18" s="220">
        <v>175711</v>
      </c>
      <c r="H18" s="251"/>
      <c r="I18" s="17"/>
    </row>
    <row r="19" spans="2:15" ht="16.5" thickBot="1" x14ac:dyDescent="0.3">
      <c r="B19" s="96" t="s">
        <v>226</v>
      </c>
      <c r="C19" s="227">
        <v>10800</v>
      </c>
      <c r="D19" s="228"/>
      <c r="E19" s="227">
        <v>10800</v>
      </c>
      <c r="F19" s="228"/>
      <c r="G19" s="227">
        <v>0</v>
      </c>
      <c r="H19" s="250"/>
      <c r="I19" s="17"/>
    </row>
    <row r="20" spans="2:15" ht="30" customHeight="1" thickBot="1" x14ac:dyDescent="0.3">
      <c r="B20" s="97" t="s">
        <v>297</v>
      </c>
      <c r="C20" s="216">
        <f>E20+G20</f>
        <v>-11306.047000000079</v>
      </c>
      <c r="D20" s="217"/>
      <c r="E20" s="248">
        <f>E17+E19-E18</f>
        <v>-28160.317000000097</v>
      </c>
      <c r="F20" s="254"/>
      <c r="G20" s="248">
        <f>G17-G18</f>
        <v>16854.270000000019</v>
      </c>
      <c r="H20" s="249"/>
      <c r="I20" s="17"/>
    </row>
    <row r="21" spans="2:15" x14ac:dyDescent="0.25">
      <c r="B21" s="14"/>
      <c r="C21" s="79"/>
      <c r="D21" s="91"/>
      <c r="E21" s="208"/>
      <c r="I21" s="17"/>
    </row>
    <row r="22" spans="2:15" ht="21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L22" s="17"/>
      <c r="M22" s="312" t="s">
        <v>301</v>
      </c>
      <c r="N22" s="312" t="s">
        <v>302</v>
      </c>
    </row>
    <row r="23" spans="2:15" ht="32.25" customHeight="1" x14ac:dyDescent="0.25">
      <c r="B23" s="263" t="s">
        <v>196</v>
      </c>
      <c r="C23" s="237" t="s">
        <v>197</v>
      </c>
      <c r="D23" s="237" t="s">
        <v>210</v>
      </c>
      <c r="E23" s="239" t="s">
        <v>325</v>
      </c>
      <c r="F23" s="241" t="s">
        <v>199</v>
      </c>
      <c r="G23" s="242"/>
      <c r="H23" s="243" t="s">
        <v>227</v>
      </c>
      <c r="L23" s="17"/>
      <c r="M23" s="313"/>
      <c r="N23" s="313"/>
    </row>
    <row r="24" spans="2:15" ht="53.25" customHeight="1" thickBot="1" x14ac:dyDescent="0.3">
      <c r="B24" s="264"/>
      <c r="C24" s="238"/>
      <c r="D24" s="238"/>
      <c r="E24" s="240"/>
      <c r="F24" s="19" t="s">
        <v>187</v>
      </c>
      <c r="G24" s="20" t="s">
        <v>188</v>
      </c>
      <c r="H24" s="244"/>
      <c r="M24" s="314">
        <v>76632.47</v>
      </c>
      <c r="N24" s="314">
        <f>M24*1.01</f>
        <v>77398.794699999999</v>
      </c>
    </row>
    <row r="25" spans="2:15" ht="56.25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7514.3772617946361</v>
      </c>
      <c r="G25" s="24">
        <f>$N$24/$N$25*E25</f>
        <v>7589.5210344125826</v>
      </c>
      <c r="H25" s="25">
        <f>F25-G25</f>
        <v>-75.143772617946524</v>
      </c>
      <c r="I25" s="60"/>
      <c r="J25" s="27"/>
      <c r="K25" s="27"/>
      <c r="L25" s="28"/>
      <c r="M25" s="315">
        <f>E34-E32</f>
        <v>10.809999999999999</v>
      </c>
      <c r="N25" s="315">
        <f>E34-E32</f>
        <v>10.809999999999999</v>
      </c>
      <c r="O25" s="27"/>
    </row>
    <row r="26" spans="2:15" ht="56.25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8435.9518316373724</v>
      </c>
      <c r="G26" s="6">
        <f>$N$24/$N$25*E26</f>
        <v>8520.3113499537467</v>
      </c>
      <c r="H26" s="25">
        <f t="shared" ref="H26:H31" si="0">F26-G26</f>
        <v>-84.359518316374306</v>
      </c>
      <c r="I26" s="61"/>
      <c r="J26" s="4"/>
      <c r="K26" s="4"/>
      <c r="L26" s="4"/>
      <c r="M26" s="316"/>
      <c r="N26" s="316"/>
      <c r="O26" s="4"/>
    </row>
    <row r="27" spans="2:15" ht="56.25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2268.4912488436635</v>
      </c>
      <c r="G27" s="6">
        <f t="shared" ref="G27:G30" si="2">$N$24/$N$25*E27</f>
        <v>2291.1761613321</v>
      </c>
      <c r="H27" s="25">
        <f t="shared" si="0"/>
        <v>-22.684912488436566</v>
      </c>
      <c r="I27" s="44"/>
      <c r="L27" s="17"/>
    </row>
    <row r="28" spans="2:15" ht="25.5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590.75292938637074</v>
      </c>
      <c r="G28" s="6">
        <f>($N$24/12*2)/$N$25*E28</f>
        <v>596.66045868023446</v>
      </c>
      <c r="H28" s="25">
        <f t="shared" si="0"/>
        <v>-5.9075292938637176</v>
      </c>
      <c r="I28" s="44"/>
      <c r="L28" s="17"/>
    </row>
    <row r="29" spans="2:15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8365.0614801110078</v>
      </c>
      <c r="G29" s="6">
        <f t="shared" si="2"/>
        <v>8448.7120949121181</v>
      </c>
      <c r="H29" s="25">
        <f t="shared" si="0"/>
        <v>-83.650614801110351</v>
      </c>
      <c r="I29" s="44"/>
    </row>
    <row r="30" spans="2:15" ht="217.5" customHeight="1" x14ac:dyDescent="0.25">
      <c r="B30" s="29" t="s">
        <v>219</v>
      </c>
      <c r="C30" s="32" t="s">
        <v>204</v>
      </c>
      <c r="D30" s="22" t="s">
        <v>201</v>
      </c>
      <c r="E30" s="99">
        <v>5.61</v>
      </c>
      <c r="F30" s="23">
        <f t="shared" si="1"/>
        <v>39769.487206290476</v>
      </c>
      <c r="G30" s="6">
        <f t="shared" si="2"/>
        <v>40167.182078353384</v>
      </c>
      <c r="H30" s="25">
        <f t="shared" si="0"/>
        <v>-397.69487206290796</v>
      </c>
      <c r="I30" s="61"/>
      <c r="J30" s="4"/>
      <c r="K30" s="4"/>
      <c r="L30" s="3"/>
      <c r="M30" s="316"/>
      <c r="N30" s="316"/>
    </row>
    <row r="31" spans="2:15" ht="107.2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1346.9166790009251</v>
      </c>
      <c r="G31" s="6">
        <f t="shared" ref="G31" si="3">$N$24/$N$25*E31</f>
        <v>1360.3858457909346</v>
      </c>
      <c r="H31" s="25">
        <f t="shared" si="0"/>
        <v>-13.469166790009467</v>
      </c>
      <c r="I31" s="44"/>
    </row>
    <row r="32" spans="2:15" ht="56.25" x14ac:dyDescent="0.25">
      <c r="B32" s="30" t="s">
        <v>206</v>
      </c>
      <c r="C32" s="8" t="s">
        <v>223</v>
      </c>
      <c r="D32" s="22" t="s">
        <v>201</v>
      </c>
      <c r="E32" s="99">
        <v>5.16</v>
      </c>
      <c r="F32" s="23">
        <v>39502.85</v>
      </c>
      <c r="G32" s="6">
        <v>35408</v>
      </c>
      <c r="H32" s="25">
        <f>F32-G32</f>
        <v>4094.8499999999985</v>
      </c>
      <c r="I32" s="44"/>
      <c r="L32" s="17"/>
    </row>
    <row r="33" spans="2:15" ht="16.5" thickBot="1" x14ac:dyDescent="0.3">
      <c r="B33" s="51" t="s">
        <v>186</v>
      </c>
      <c r="C33" s="52" t="s">
        <v>204</v>
      </c>
      <c r="D33" s="53" t="s">
        <v>201</v>
      </c>
      <c r="E33" s="103">
        <f>1.65-0.89</f>
        <v>0.7599999999999999</v>
      </c>
      <c r="F33" s="23">
        <f t="shared" si="1"/>
        <v>5387.6667160037005</v>
      </c>
      <c r="G33" s="6">
        <f t="shared" ref="G33" si="4">$N$24/$N$25*E33</f>
        <v>5441.5433831637374</v>
      </c>
      <c r="H33" s="33">
        <f>F33-G33</f>
        <v>-53.876667160036959</v>
      </c>
      <c r="I33" s="44"/>
    </row>
    <row r="34" spans="2:15" ht="16.5" thickBot="1" x14ac:dyDescent="0.3">
      <c r="B34" s="54" t="s">
        <v>190</v>
      </c>
      <c r="C34" s="55"/>
      <c r="D34" s="55"/>
      <c r="E34" s="101">
        <f>SUM(E25:E33)</f>
        <v>15.969999999999999</v>
      </c>
      <c r="F34" s="56">
        <f>SUM(F25:F33)</f>
        <v>113181.55535306814</v>
      </c>
      <c r="G34" s="57">
        <f>SUM(G25:G33)</f>
        <v>109823.49240659883</v>
      </c>
      <c r="H34" s="38">
        <f>SUM(H25:H33)</f>
        <v>3358.0629464693129</v>
      </c>
      <c r="I34" s="62"/>
    </row>
    <row r="35" spans="2:15" x14ac:dyDescent="0.25">
      <c r="B35" s="17"/>
      <c r="C35" s="17"/>
      <c r="D35" s="17"/>
      <c r="E35" s="86"/>
      <c r="F35" s="82"/>
      <c r="G35" s="86"/>
      <c r="H35" s="82"/>
      <c r="O35" s="82"/>
    </row>
    <row r="36" spans="2:15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5" ht="46.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43"/>
      <c r="M37" s="317"/>
      <c r="N37" s="317"/>
    </row>
    <row r="38" spans="2:15" x14ac:dyDescent="0.25">
      <c r="B38" s="93" t="s">
        <v>15</v>
      </c>
      <c r="C38" s="222">
        <f>E38+G38</f>
        <v>779256.78535306826</v>
      </c>
      <c r="D38" s="223"/>
      <c r="E38" s="224">
        <f>F25+F26+F27+F28+F29+F30+F31+F33+E16</f>
        <v>533235.47535306821</v>
      </c>
      <c r="F38" s="225"/>
      <c r="G38" s="224">
        <f>F32+G16</f>
        <v>246021.31000000003</v>
      </c>
      <c r="H38" s="226"/>
      <c r="I38" s="76"/>
      <c r="J38" s="77"/>
      <c r="K38" s="9"/>
      <c r="L38" s="9"/>
      <c r="M38" s="318"/>
    </row>
    <row r="39" spans="2:15" x14ac:dyDescent="0.25">
      <c r="B39" s="94" t="s">
        <v>16</v>
      </c>
      <c r="C39" s="220">
        <f>E39+G39</f>
        <v>729768.33</v>
      </c>
      <c r="D39" s="221"/>
      <c r="E39" s="220">
        <f>E17+70413.99</f>
        <v>500905.73999999993</v>
      </c>
      <c r="F39" s="221"/>
      <c r="G39" s="220">
        <f>G17+36297.32</f>
        <v>228862.59000000003</v>
      </c>
      <c r="H39" s="251"/>
      <c r="I39" s="76"/>
      <c r="J39" s="77"/>
      <c r="K39" s="12"/>
      <c r="L39" s="9"/>
      <c r="M39" s="318"/>
    </row>
    <row r="40" spans="2:15" x14ac:dyDescent="0.25">
      <c r="B40" s="95" t="s">
        <v>189</v>
      </c>
      <c r="C40" s="220" t="e">
        <f>E40+G40</f>
        <v>#REF!</v>
      </c>
      <c r="D40" s="221"/>
      <c r="E40" s="246" t="e">
        <f>G25+G26+G27+G28+G29+G30+G31+G33+E18+#REF!</f>
        <v>#REF!</v>
      </c>
      <c r="F40" s="247"/>
      <c r="G40" s="246">
        <f>G32+G18</f>
        <v>211119</v>
      </c>
      <c r="H40" s="252"/>
      <c r="I40" s="76"/>
      <c r="J40" s="77"/>
      <c r="K40" s="44"/>
      <c r="L40" s="44"/>
    </row>
    <row r="41" spans="2:15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76"/>
      <c r="J41" s="77"/>
      <c r="K41" s="44"/>
      <c r="L41" s="44"/>
    </row>
    <row r="42" spans="2:15" ht="36.75" thickBot="1" x14ac:dyDescent="0.3">
      <c r="B42" s="97" t="s">
        <v>298</v>
      </c>
      <c r="C42" s="216" t="e">
        <f>E42+G42</f>
        <v>#REF!</v>
      </c>
      <c r="D42" s="217"/>
      <c r="E42" s="248" t="e">
        <f>E39+E41-E40</f>
        <v>#REF!</v>
      </c>
      <c r="F42" s="254"/>
      <c r="G42" s="248">
        <f>G39-G40</f>
        <v>17743.590000000026</v>
      </c>
      <c r="H42" s="249"/>
      <c r="I42" s="76"/>
      <c r="J42" s="77"/>
      <c r="K42" s="44"/>
      <c r="L42" s="44"/>
    </row>
    <row r="43" spans="2:15" ht="27.7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1"/>
      <c r="G44" s="231"/>
      <c r="H44" s="78"/>
      <c r="I44" s="78"/>
      <c r="J44" s="4"/>
      <c r="K44" s="4"/>
      <c r="L44" s="4"/>
      <c r="M44" s="316"/>
      <c r="N44" s="316"/>
      <c r="O44" s="4"/>
    </row>
    <row r="45" spans="2:15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78"/>
      <c r="I45" s="78"/>
      <c r="J45" s="4"/>
      <c r="K45" s="4"/>
      <c r="L45" s="4"/>
      <c r="M45" s="316"/>
      <c r="N45" s="316"/>
      <c r="O45" s="4"/>
    </row>
    <row r="46" spans="2:15" ht="9.75" customHeight="1" x14ac:dyDescent="0.25">
      <c r="B46" s="205"/>
      <c r="C46" s="205"/>
      <c r="D46" s="205"/>
      <c r="E46" s="209"/>
      <c r="F46" s="230"/>
      <c r="G46" s="230"/>
      <c r="H46" s="78"/>
      <c r="I46" s="78"/>
    </row>
    <row r="47" spans="2:15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0.5" customHeight="1" x14ac:dyDescent="0.25">
      <c r="B48" s="45"/>
      <c r="C48" s="45"/>
      <c r="D48" s="45"/>
      <c r="E48" s="209"/>
      <c r="F48" s="46"/>
      <c r="G48" s="47"/>
      <c r="H48" s="48"/>
      <c r="I48" s="10"/>
    </row>
    <row r="49" spans="2:9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78"/>
      <c r="I49" s="78"/>
    </row>
    <row r="50" spans="2:9" ht="11.25" customHeight="1" x14ac:dyDescent="0.25">
      <c r="C50" s="13"/>
      <c r="E50" s="209"/>
    </row>
  </sheetData>
  <mergeCells count="60">
    <mergeCell ref="N22:N23"/>
    <mergeCell ref="C39:D39"/>
    <mergeCell ref="C40:D40"/>
    <mergeCell ref="C41:D41"/>
    <mergeCell ref="C42:D42"/>
    <mergeCell ref="M22:M23"/>
    <mergeCell ref="B36:H36"/>
    <mergeCell ref="E37:F37"/>
    <mergeCell ref="G37:H37"/>
    <mergeCell ref="E38:F38"/>
    <mergeCell ref="G38:H38"/>
    <mergeCell ref="C37:D37"/>
    <mergeCell ref="C38:D38"/>
    <mergeCell ref="E39:F39"/>
    <mergeCell ref="G39:H39"/>
    <mergeCell ref="E40:F40"/>
    <mergeCell ref="E19:F19"/>
    <mergeCell ref="G19:H19"/>
    <mergeCell ref="E20:F20"/>
    <mergeCell ref="G20:H20"/>
    <mergeCell ref="C19:D19"/>
    <mergeCell ref="C20:D20"/>
    <mergeCell ref="C16:D16"/>
    <mergeCell ref="E17:F17"/>
    <mergeCell ref="G17:H17"/>
    <mergeCell ref="E18:F18"/>
    <mergeCell ref="G18:H18"/>
    <mergeCell ref="C17:D17"/>
    <mergeCell ref="C18:D18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E16:F16"/>
    <mergeCell ref="G16:H16"/>
    <mergeCell ref="C15:D15"/>
    <mergeCell ref="G40:H40"/>
    <mergeCell ref="G42:H42"/>
    <mergeCell ref="E42:F42"/>
    <mergeCell ref="E41:F41"/>
    <mergeCell ref="G41:H41"/>
    <mergeCell ref="C43:E43"/>
    <mergeCell ref="C45:E45"/>
    <mergeCell ref="C47:E47"/>
    <mergeCell ref="C49:E49"/>
    <mergeCell ref="F49:G49"/>
    <mergeCell ref="F43:G43"/>
    <mergeCell ref="F44:G44"/>
    <mergeCell ref="F45:G45"/>
    <mergeCell ref="F46:G46"/>
    <mergeCell ref="F47:G47"/>
  </mergeCells>
  <printOptions horizontalCentered="1"/>
  <pageMargins left="0.19685039370078741" right="0.19685039370078741" top="0.15748031496062992" bottom="0.31496062992125984" header="0.59055118110236227" footer="0.31496062992125984"/>
  <pageSetup paperSize="9" scale="5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0"/>
  <sheetViews>
    <sheetView topLeftCell="A22" zoomScale="110" zoomScaleNormal="110" workbookViewId="0">
      <selection activeCell="M22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7109375" style="5" customWidth="1"/>
    <col min="3" max="3" width="21.85546875" style="82" customWidth="1"/>
    <col min="4" max="4" width="9.5703125" style="82" customWidth="1"/>
    <col min="5" max="5" width="10.28515625" style="82" customWidth="1"/>
    <col min="6" max="6" width="9.85546875" style="5" customWidth="1"/>
    <col min="7" max="7" width="10.28515625" style="5" customWidth="1"/>
    <col min="8" max="8" width="10.42578125" style="5" customWidth="1"/>
    <col min="9" max="9" width="10.7109375" style="5" bestFit="1" customWidth="1"/>
    <col min="10" max="12" width="9.140625" style="5"/>
    <col min="13" max="13" width="15.5703125" style="310" customWidth="1"/>
    <col min="14" max="14" width="18.1406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130</v>
      </c>
      <c r="E5" s="234"/>
    </row>
    <row r="6" spans="1:9" x14ac:dyDescent="0.25">
      <c r="B6" s="10" t="s">
        <v>1</v>
      </c>
      <c r="C6" s="48"/>
      <c r="D6" s="207">
        <v>1956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8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131</v>
      </c>
      <c r="E9" s="207"/>
    </row>
    <row r="10" spans="1:9" collapsed="1" x14ac:dyDescent="0.25">
      <c r="B10" s="10" t="s">
        <v>5</v>
      </c>
      <c r="C10" s="48"/>
      <c r="D10" s="207" t="s">
        <v>267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/>
      <c r="E12" s="208"/>
      <c r="I12" s="17"/>
    </row>
    <row r="13" spans="1:9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2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366299.57999999996</v>
      </c>
      <c r="D16" s="223"/>
      <c r="E16" s="222">
        <v>315167.27999999997</v>
      </c>
      <c r="F16" s="223"/>
      <c r="G16" s="222">
        <v>51132.3</v>
      </c>
      <c r="H16" s="256"/>
      <c r="I16" s="17"/>
    </row>
    <row r="17" spans="2:15" x14ac:dyDescent="0.25">
      <c r="B17" s="94" t="s">
        <v>16</v>
      </c>
      <c r="C17" s="220">
        <v>314622.75000000006</v>
      </c>
      <c r="D17" s="221"/>
      <c r="E17" s="220">
        <v>278220.85000000003</v>
      </c>
      <c r="F17" s="221"/>
      <c r="G17" s="220">
        <v>36401.9</v>
      </c>
      <c r="H17" s="251"/>
      <c r="I17" s="17"/>
    </row>
    <row r="18" spans="2:15" x14ac:dyDescent="0.25">
      <c r="B18" s="95" t="s">
        <v>189</v>
      </c>
      <c r="C18" s="220">
        <v>325473.05050000001</v>
      </c>
      <c r="D18" s="221"/>
      <c r="E18" s="220">
        <v>316432.05050000001</v>
      </c>
      <c r="F18" s="221"/>
      <c r="G18" s="220">
        <v>9041</v>
      </c>
      <c r="H18" s="251"/>
      <c r="I18" s="17"/>
    </row>
    <row r="19" spans="2:15" ht="16.5" thickBot="1" x14ac:dyDescent="0.3">
      <c r="B19" s="96" t="s">
        <v>226</v>
      </c>
      <c r="C19" s="227">
        <v>10800</v>
      </c>
      <c r="D19" s="228"/>
      <c r="E19" s="227">
        <v>10800</v>
      </c>
      <c r="F19" s="228"/>
      <c r="G19" s="227">
        <v>0</v>
      </c>
      <c r="H19" s="250"/>
      <c r="I19" s="17"/>
    </row>
    <row r="20" spans="2:15" ht="28.5" customHeight="1" thickBot="1" x14ac:dyDescent="0.3">
      <c r="B20" s="97" t="s">
        <v>297</v>
      </c>
      <c r="C20" s="216">
        <f>E20+G20</f>
        <v>-50.300499999975727</v>
      </c>
      <c r="D20" s="217"/>
      <c r="E20" s="248">
        <f>E17+E19-E18</f>
        <v>-27411.200499999977</v>
      </c>
      <c r="F20" s="254"/>
      <c r="G20" s="248">
        <f>G17-G18</f>
        <v>27360.9</v>
      </c>
      <c r="H20" s="249"/>
      <c r="I20" s="17"/>
    </row>
    <row r="21" spans="2:15" x14ac:dyDescent="0.25">
      <c r="B21" s="14"/>
      <c r="C21" s="79"/>
      <c r="D21" s="91"/>
      <c r="E21" s="208"/>
      <c r="I21" s="17"/>
    </row>
    <row r="22" spans="2:15" ht="22.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L22" s="17"/>
      <c r="M22" s="312" t="s">
        <v>301</v>
      </c>
      <c r="N22" s="312" t="s">
        <v>302</v>
      </c>
    </row>
    <row r="23" spans="2:15" ht="32.25" customHeight="1" x14ac:dyDescent="0.25">
      <c r="B23" s="263" t="s">
        <v>196</v>
      </c>
      <c r="C23" s="237" t="s">
        <v>197</v>
      </c>
      <c r="D23" s="237" t="s">
        <v>210</v>
      </c>
      <c r="E23" s="239" t="s">
        <v>325</v>
      </c>
      <c r="F23" s="241" t="s">
        <v>199</v>
      </c>
      <c r="G23" s="242"/>
      <c r="H23" s="243" t="s">
        <v>227</v>
      </c>
      <c r="L23" s="17"/>
      <c r="M23" s="313"/>
      <c r="N23" s="313"/>
    </row>
    <row r="24" spans="2:15" ht="53.25" customHeight="1" thickBot="1" x14ac:dyDescent="0.3">
      <c r="B24" s="264"/>
      <c r="C24" s="238"/>
      <c r="D24" s="238"/>
      <c r="E24" s="240"/>
      <c r="F24" s="19" t="s">
        <v>187</v>
      </c>
      <c r="G24" s="20" t="s">
        <v>188</v>
      </c>
      <c r="H24" s="244"/>
      <c r="M24" s="314">
        <v>53160.2</v>
      </c>
      <c r="N24" s="314">
        <f>M24*1.01</f>
        <v>53691.801999999996</v>
      </c>
    </row>
    <row r="25" spans="2:15" ht="56.25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5519.0805093046038</v>
      </c>
      <c r="G25" s="24">
        <f>$N$24/$N$25*E25</f>
        <v>5574.2713143976498</v>
      </c>
      <c r="H25" s="25">
        <f>F25-G25</f>
        <v>-55.190805093046038</v>
      </c>
      <c r="I25" s="60"/>
      <c r="J25" s="27"/>
      <c r="K25" s="27"/>
      <c r="L25" s="28"/>
      <c r="M25" s="315">
        <f>E34-E32</f>
        <v>10.209999999999999</v>
      </c>
      <c r="N25" s="315">
        <f>E34-E32</f>
        <v>10.209999999999999</v>
      </c>
      <c r="O25" s="27"/>
    </row>
    <row r="26" spans="2:15" ht="56.25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6195.9488736532803</v>
      </c>
      <c r="G26" s="6">
        <f>$N$24/$N$25*E26</f>
        <v>6257.9083623898141</v>
      </c>
      <c r="H26" s="25">
        <f t="shared" ref="H26:H31" si="0">F26-G26</f>
        <v>-61.959488736533785</v>
      </c>
      <c r="I26" s="61"/>
      <c r="J26" s="4"/>
      <c r="K26" s="4"/>
      <c r="L26" s="4"/>
      <c r="M26" s="316"/>
      <c r="N26" s="316"/>
      <c r="O26" s="4"/>
    </row>
    <row r="27" spans="2:15" ht="56.25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1666.1375122428992</v>
      </c>
      <c r="G27" s="6">
        <f t="shared" ref="G27:G30" si="2">$N$24/$N$25*E27</f>
        <v>1682.7988873653283</v>
      </c>
      <c r="H27" s="25">
        <f t="shared" si="0"/>
        <v>-16.661375122429035</v>
      </c>
      <c r="I27" s="44"/>
      <c r="L27" s="17"/>
    </row>
    <row r="28" spans="2:15" ht="25.5" x14ac:dyDescent="0.25">
      <c r="B28" s="30" t="s">
        <v>185</v>
      </c>
      <c r="C28" s="31" t="s">
        <v>203</v>
      </c>
      <c r="D28" s="22" t="s">
        <v>201</v>
      </c>
      <c r="E28" s="99">
        <v>0</v>
      </c>
      <c r="F28" s="23">
        <f t="shared" si="1"/>
        <v>0</v>
      </c>
      <c r="G28" s="6">
        <f t="shared" si="2"/>
        <v>0</v>
      </c>
      <c r="H28" s="25">
        <f t="shared" si="0"/>
        <v>0</v>
      </c>
      <c r="I28" s="44"/>
      <c r="L28" s="17"/>
    </row>
    <row r="29" spans="2:15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6143.8820763956901</v>
      </c>
      <c r="G29" s="6">
        <f t="shared" si="2"/>
        <v>6205.3208971596478</v>
      </c>
      <c r="H29" s="25">
        <f t="shared" si="0"/>
        <v>-61.438820763957665</v>
      </c>
      <c r="I29" s="44"/>
    </row>
    <row r="30" spans="2:15" ht="226.5" customHeight="1" x14ac:dyDescent="0.25">
      <c r="B30" s="29" t="s">
        <v>219</v>
      </c>
      <c r="C30" s="32" t="s">
        <v>204</v>
      </c>
      <c r="D30" s="22" t="s">
        <v>201</v>
      </c>
      <c r="E30" s="99">
        <v>5.61</v>
      </c>
      <c r="F30" s="23">
        <f t="shared" si="1"/>
        <v>29209.473261508327</v>
      </c>
      <c r="G30" s="6">
        <f t="shared" si="2"/>
        <v>29501.567994123412</v>
      </c>
      <c r="H30" s="25">
        <f t="shared" si="0"/>
        <v>-292.09473261508538</v>
      </c>
      <c r="I30" s="61"/>
      <c r="J30" s="4"/>
      <c r="K30" s="4"/>
      <c r="L30" s="3"/>
      <c r="M30" s="316"/>
      <c r="N30" s="316"/>
    </row>
    <row r="31" spans="2:15" ht="107.25" customHeight="1" x14ac:dyDescent="0.25">
      <c r="B31" s="29" t="s">
        <v>205</v>
      </c>
      <c r="C31" s="8" t="s">
        <v>223</v>
      </c>
      <c r="D31" s="22" t="s">
        <v>201</v>
      </c>
      <c r="E31" s="99">
        <v>0.24</v>
      </c>
      <c r="F31" s="23">
        <f t="shared" si="1"/>
        <v>1249.6031341821742</v>
      </c>
      <c r="G31" s="6">
        <f t="shared" ref="G31" si="3">$N$24/$N$25*E31</f>
        <v>1262.0991655239961</v>
      </c>
      <c r="H31" s="25">
        <f t="shared" si="0"/>
        <v>-12.49603134182189</v>
      </c>
      <c r="I31" s="44"/>
    </row>
    <row r="32" spans="2:15" ht="56.25" x14ac:dyDescent="0.25">
      <c r="B32" s="30" t="s">
        <v>206</v>
      </c>
      <c r="C32" s="8" t="s">
        <v>223</v>
      </c>
      <c r="D32" s="22" t="s">
        <v>201</v>
      </c>
      <c r="E32" s="99">
        <v>0</v>
      </c>
      <c r="F32" s="23">
        <v>0</v>
      </c>
      <c r="G32" s="6">
        <v>4286</v>
      </c>
      <c r="H32" s="25">
        <f>F32-G32</f>
        <v>-4286</v>
      </c>
      <c r="I32" s="44"/>
      <c r="L32" s="17"/>
    </row>
    <row r="33" spans="2:15" ht="16.5" thickBot="1" x14ac:dyDescent="0.3">
      <c r="B33" s="51" t="s">
        <v>186</v>
      </c>
      <c r="C33" s="52" t="s">
        <v>204</v>
      </c>
      <c r="D33" s="53" t="s">
        <v>201</v>
      </c>
      <c r="E33" s="103">
        <f>1.6-0.99</f>
        <v>0.6100000000000001</v>
      </c>
      <c r="F33" s="23">
        <f t="shared" si="1"/>
        <v>3176.0746327130269</v>
      </c>
      <c r="G33" s="6">
        <f t="shared" ref="G33" si="4">$N$24/$N$25*E33</f>
        <v>3207.8353790401575</v>
      </c>
      <c r="H33" s="33">
        <f>F33-G33</f>
        <v>-31.760746327130619</v>
      </c>
      <c r="I33" s="44"/>
    </row>
    <row r="34" spans="2:15" ht="16.5" thickBot="1" x14ac:dyDescent="0.3">
      <c r="B34" s="54" t="s">
        <v>190</v>
      </c>
      <c r="C34" s="55"/>
      <c r="D34" s="55"/>
      <c r="E34" s="101">
        <f>SUM(E25:E33)</f>
        <v>10.209999999999999</v>
      </c>
      <c r="F34" s="56">
        <f>SUM(F25:F33)</f>
        <v>53160.2</v>
      </c>
      <c r="G34" s="57">
        <f>SUM(G25:G33)</f>
        <v>57977.802000000011</v>
      </c>
      <c r="H34" s="38">
        <f>SUM(H25:H33)</f>
        <v>-4817.6020000000044</v>
      </c>
      <c r="I34" s="62"/>
    </row>
    <row r="35" spans="2:15" x14ac:dyDescent="0.25">
      <c r="B35" s="17"/>
      <c r="C35" s="17"/>
      <c r="D35" s="17"/>
      <c r="E35" s="86"/>
      <c r="F35" s="82"/>
      <c r="G35" s="86"/>
      <c r="H35" s="82"/>
      <c r="O35" s="82"/>
    </row>
    <row r="36" spans="2:15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5" ht="43.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43"/>
      <c r="M37" s="317"/>
      <c r="N37" s="317"/>
    </row>
    <row r="38" spans="2:15" x14ac:dyDescent="0.25">
      <c r="B38" s="93" t="s">
        <v>15</v>
      </c>
      <c r="C38" s="222">
        <f>E38+G38</f>
        <v>419459.77999999997</v>
      </c>
      <c r="D38" s="223"/>
      <c r="E38" s="224">
        <f>F25+F26+F27+F28+F29+F30+F31+F33+E16</f>
        <v>368327.48</v>
      </c>
      <c r="F38" s="225"/>
      <c r="G38" s="224">
        <f>F32+G16</f>
        <v>51132.3</v>
      </c>
      <c r="H38" s="226"/>
      <c r="I38" s="76"/>
      <c r="J38" s="77"/>
      <c r="K38" s="9"/>
      <c r="L38" s="9"/>
      <c r="M38" s="318"/>
    </row>
    <row r="39" spans="2:15" x14ac:dyDescent="0.25">
      <c r="B39" s="94" t="s">
        <v>16</v>
      </c>
      <c r="C39" s="220">
        <f>E39+G39</f>
        <v>372983.95000000007</v>
      </c>
      <c r="D39" s="221"/>
      <c r="E39" s="220">
        <f>E17+58361.2</f>
        <v>336582.05000000005</v>
      </c>
      <c r="F39" s="221"/>
      <c r="G39" s="220">
        <f>G17</f>
        <v>36401.9</v>
      </c>
      <c r="H39" s="251"/>
      <c r="I39" s="76"/>
      <c r="J39" s="77"/>
      <c r="K39" s="12"/>
      <c r="L39" s="9"/>
      <c r="M39" s="318"/>
    </row>
    <row r="40" spans="2:15" x14ac:dyDescent="0.25">
      <c r="B40" s="95" t="s">
        <v>189</v>
      </c>
      <c r="C40" s="220">
        <f>E40+G40</f>
        <v>383450.85250000004</v>
      </c>
      <c r="D40" s="221"/>
      <c r="E40" s="246">
        <f>G25+G26+G27+G28+G29+G30+G31+G33+E18</f>
        <v>370123.85250000004</v>
      </c>
      <c r="F40" s="247"/>
      <c r="G40" s="246">
        <f>G32+G18</f>
        <v>13327</v>
      </c>
      <c r="H40" s="252"/>
      <c r="I40" s="76"/>
      <c r="J40" s="77"/>
      <c r="K40" s="44"/>
      <c r="L40" s="44"/>
    </row>
    <row r="41" spans="2:15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76"/>
      <c r="J41" s="77"/>
      <c r="K41" s="44"/>
      <c r="L41" s="44"/>
    </row>
    <row r="42" spans="2:15" ht="31.5" customHeight="1" thickBot="1" x14ac:dyDescent="0.3">
      <c r="B42" s="97" t="s">
        <v>298</v>
      </c>
      <c r="C42" s="216">
        <f>E42+G42</f>
        <v>3933.0975000000108</v>
      </c>
      <c r="D42" s="217"/>
      <c r="E42" s="248">
        <f>E39+E41-E40</f>
        <v>-19141.802499999991</v>
      </c>
      <c r="F42" s="254"/>
      <c r="G42" s="248">
        <f>G39-G40</f>
        <v>23074.9</v>
      </c>
      <c r="H42" s="249"/>
      <c r="I42" s="76"/>
      <c r="J42" s="77"/>
      <c r="K42" s="44"/>
      <c r="L42" s="44"/>
    </row>
    <row r="43" spans="2:15" ht="27.7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1"/>
      <c r="G44" s="231"/>
      <c r="H44" s="78"/>
      <c r="I44" s="78"/>
      <c r="J44" s="4"/>
      <c r="K44" s="4"/>
      <c r="L44" s="4"/>
      <c r="M44" s="316"/>
      <c r="N44" s="316"/>
      <c r="O44" s="4"/>
    </row>
    <row r="45" spans="2:15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78"/>
      <c r="I45" s="78"/>
      <c r="J45" s="4"/>
      <c r="K45" s="4"/>
      <c r="L45" s="4"/>
      <c r="M45" s="316"/>
      <c r="N45" s="316"/>
      <c r="O45" s="4"/>
    </row>
    <row r="46" spans="2:15" ht="9.75" customHeight="1" x14ac:dyDescent="0.25">
      <c r="B46" s="205"/>
      <c r="C46" s="205"/>
      <c r="D46" s="205"/>
      <c r="E46" s="209"/>
      <c r="F46" s="230"/>
      <c r="G46" s="230"/>
      <c r="H46" s="78"/>
      <c r="I46" s="78"/>
    </row>
    <row r="47" spans="2:15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0.5" customHeight="1" x14ac:dyDescent="0.25">
      <c r="B48" s="45"/>
      <c r="C48" s="45"/>
      <c r="D48" s="45"/>
      <c r="E48" s="209"/>
      <c r="F48" s="46"/>
      <c r="G48" s="47"/>
      <c r="H48" s="48"/>
      <c r="I48" s="10"/>
    </row>
    <row r="49" spans="2:9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78"/>
      <c r="I49" s="78"/>
    </row>
    <row r="50" spans="2:9" ht="10.5" customHeight="1" x14ac:dyDescent="0.25">
      <c r="C50" s="13"/>
      <c r="E50" s="209"/>
    </row>
  </sheetData>
  <mergeCells count="60">
    <mergeCell ref="M22:M23"/>
    <mergeCell ref="N22:N23"/>
    <mergeCell ref="C15:D15"/>
    <mergeCell ref="C16:D16"/>
    <mergeCell ref="C17:D17"/>
    <mergeCell ref="C18:D18"/>
    <mergeCell ref="C19:D19"/>
    <mergeCell ref="E20:F20"/>
    <mergeCell ref="G20:H20"/>
    <mergeCell ref="E18:F18"/>
    <mergeCell ref="G18:H18"/>
    <mergeCell ref="E19:F19"/>
    <mergeCell ref="G19:H19"/>
    <mergeCell ref="C20:D20"/>
    <mergeCell ref="E16:F16"/>
    <mergeCell ref="G16:H16"/>
    <mergeCell ref="E39:F39"/>
    <mergeCell ref="E42:F42"/>
    <mergeCell ref="E41:F41"/>
    <mergeCell ref="B36:H36"/>
    <mergeCell ref="E37:F37"/>
    <mergeCell ref="G37:H37"/>
    <mergeCell ref="E38:F38"/>
    <mergeCell ref="G38:H38"/>
    <mergeCell ref="G39:H39"/>
    <mergeCell ref="G40:H40"/>
    <mergeCell ref="G42:H42"/>
    <mergeCell ref="E40:F40"/>
    <mergeCell ref="G41:H41"/>
    <mergeCell ref="C37:D37"/>
    <mergeCell ref="C38:D38"/>
    <mergeCell ref="C39:D39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E17:F17"/>
    <mergeCell ref="G17:H17"/>
    <mergeCell ref="C40:D40"/>
    <mergeCell ref="C41:D41"/>
    <mergeCell ref="C42:D42"/>
    <mergeCell ref="F49:G49"/>
    <mergeCell ref="F43:G43"/>
    <mergeCell ref="F44:G44"/>
    <mergeCell ref="F45:G45"/>
    <mergeCell ref="F46:G46"/>
    <mergeCell ref="F47:G47"/>
    <mergeCell ref="C43:E43"/>
    <mergeCell ref="C45:E45"/>
    <mergeCell ref="C47:E47"/>
    <mergeCell ref="C49:E49"/>
  </mergeCells>
  <printOptions horizontalCentered="1"/>
  <pageMargins left="0.19685039370078741" right="0.19685039370078741" top="0.19685039370078741" bottom="0.23622047244094491" header="0.31496062992125984" footer="0.31496062992125984"/>
  <pageSetup paperSize="9" scale="4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3" zoomScale="110" zoomScaleNormal="110" workbookViewId="0">
      <selection activeCell="M3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42578125" style="5" customWidth="1"/>
    <col min="3" max="3" width="21.85546875" style="82" customWidth="1"/>
    <col min="4" max="4" width="9" style="82" customWidth="1"/>
    <col min="5" max="5" width="10.28515625" style="82" customWidth="1"/>
    <col min="6" max="6" width="9.140625" style="5" customWidth="1"/>
    <col min="7" max="7" width="10.28515625" style="5" customWidth="1"/>
    <col min="8" max="8" width="11" style="5" customWidth="1"/>
    <col min="9" max="9" width="10.7109375" style="5" bestFit="1" customWidth="1"/>
    <col min="10" max="12" width="9.140625" style="5"/>
    <col min="13" max="13" width="17.7109375" style="310" customWidth="1"/>
    <col min="14" max="14" width="16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7.2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132</v>
      </c>
      <c r="E5" s="234"/>
    </row>
    <row r="6" spans="1:9" x14ac:dyDescent="0.25">
      <c r="B6" s="10" t="s">
        <v>1</v>
      </c>
      <c r="C6" s="48"/>
      <c r="D6" s="207">
        <v>1961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8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133</v>
      </c>
      <c r="E9" s="207"/>
    </row>
    <row r="10" spans="1:9" collapsed="1" x14ac:dyDescent="0.25">
      <c r="B10" s="10" t="s">
        <v>5</v>
      </c>
      <c r="C10" s="48"/>
      <c r="D10" s="207" t="s">
        <v>268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/>
      <c r="E12" s="208"/>
      <c r="I12" s="17"/>
    </row>
    <row r="13" spans="1:9" ht="10.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6.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397867.12000000005</v>
      </c>
      <c r="D16" s="253"/>
      <c r="E16" s="224">
        <v>274523.20000000007</v>
      </c>
      <c r="F16" s="225"/>
      <c r="G16" s="224">
        <v>123343.92</v>
      </c>
      <c r="H16" s="226"/>
      <c r="I16" s="17"/>
    </row>
    <row r="17" spans="2:15" x14ac:dyDescent="0.25">
      <c r="B17" s="94" t="s">
        <v>16</v>
      </c>
      <c r="C17" s="220">
        <v>320428.38</v>
      </c>
      <c r="D17" s="221"/>
      <c r="E17" s="220">
        <v>221044.44000000003</v>
      </c>
      <c r="F17" s="221"/>
      <c r="G17" s="220">
        <v>99383.94</v>
      </c>
      <c r="H17" s="251"/>
      <c r="I17" s="17"/>
    </row>
    <row r="18" spans="2:15" ht="16.5" thickBot="1" x14ac:dyDescent="0.3">
      <c r="B18" s="95" t="s">
        <v>189</v>
      </c>
      <c r="C18" s="220">
        <v>330130.51449999999</v>
      </c>
      <c r="D18" s="221"/>
      <c r="E18" s="246">
        <v>271523.51449999999</v>
      </c>
      <c r="F18" s="247"/>
      <c r="G18" s="246">
        <v>58607</v>
      </c>
      <c r="H18" s="252"/>
      <c r="I18" s="17"/>
    </row>
    <row r="19" spans="2:15" ht="36.75" thickBot="1" x14ac:dyDescent="0.3">
      <c r="B19" s="97" t="s">
        <v>297</v>
      </c>
      <c r="C19" s="216">
        <f>E19+G19</f>
        <v>-9702.1344999999565</v>
      </c>
      <c r="D19" s="217"/>
      <c r="E19" s="248">
        <f>E17-E18</f>
        <v>-50479.074499999959</v>
      </c>
      <c r="F19" s="254"/>
      <c r="G19" s="248">
        <f>G17-G18</f>
        <v>40776.94</v>
      </c>
      <c r="H19" s="249"/>
      <c r="I19" s="17"/>
    </row>
    <row r="20" spans="2:15" ht="12" customHeight="1" x14ac:dyDescent="0.25">
      <c r="B20" s="14"/>
      <c r="C20" s="79"/>
      <c r="D20" s="91"/>
      <c r="E20" s="208"/>
      <c r="I20" s="17"/>
    </row>
    <row r="21" spans="2:15" ht="17.2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45957.42</v>
      </c>
      <c r="N23" s="314">
        <f>M23*1.01</f>
        <v>46416.994200000001</v>
      </c>
    </row>
    <row r="24" spans="2:15" ht="56.25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4506.4630157261799</v>
      </c>
      <c r="G24" s="24">
        <f>$N$23/$N$24*E24</f>
        <v>4551.5276458834423</v>
      </c>
      <c r="H24" s="25">
        <f>F24-G24</f>
        <v>-45.0646301572624</v>
      </c>
      <c r="I24" s="60"/>
      <c r="J24" s="27"/>
      <c r="K24" s="27"/>
      <c r="L24" s="28"/>
      <c r="M24" s="315">
        <f>E33-E31</f>
        <v>10.809999999999999</v>
      </c>
      <c r="N24" s="315">
        <f>E33-E31</f>
        <v>10.809999999999999</v>
      </c>
      <c r="O24" s="27"/>
    </row>
    <row r="25" spans="2:15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5059.1424421831634</v>
      </c>
      <c r="G25" s="6">
        <f>$N$23/$N$24*E25</f>
        <v>5109.7338666049964</v>
      </c>
      <c r="H25" s="25">
        <f t="shared" ref="H25:H30" si="0">F25-G25</f>
        <v>-50.591424421832926</v>
      </c>
      <c r="I25" s="61"/>
      <c r="J25" s="4"/>
      <c r="K25" s="4"/>
      <c r="L25" s="4"/>
      <c r="M25" s="316"/>
      <c r="N25" s="316"/>
      <c r="O25" s="4"/>
    </row>
    <row r="26" spans="2:15" ht="56.2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1360.4416651248846</v>
      </c>
      <c r="G26" s="6">
        <f t="shared" ref="G26:G29" si="2">$N$23/$N$24*E26</f>
        <v>1374.0460817761336</v>
      </c>
      <c r="H26" s="25">
        <f t="shared" si="0"/>
        <v>-13.604416651249039</v>
      </c>
      <c r="I26" s="44"/>
      <c r="L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354.28168362627201</v>
      </c>
      <c r="G27" s="6">
        <f>($N$23/12*2)/$N$24*E27</f>
        <v>357.82450046253473</v>
      </c>
      <c r="H27" s="25">
        <f t="shared" si="0"/>
        <v>-3.5428168362627162</v>
      </c>
      <c r="I27" s="44"/>
      <c r="L27" s="17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5016.6286401480111</v>
      </c>
      <c r="G28" s="6">
        <f t="shared" si="2"/>
        <v>5066.7949265494917</v>
      </c>
      <c r="H28" s="25">
        <f t="shared" si="0"/>
        <v>-50.166286401480647</v>
      </c>
      <c r="I28" s="44"/>
    </row>
    <row r="29" spans="2:15" ht="226.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23850.242941720633</v>
      </c>
      <c r="G29" s="6">
        <f t="shared" si="2"/>
        <v>24088.74537113784</v>
      </c>
      <c r="H29" s="25">
        <f t="shared" si="0"/>
        <v>-238.50242941720717</v>
      </c>
      <c r="I29" s="61"/>
      <c r="J29" s="4"/>
      <c r="K29" s="4"/>
      <c r="L29" s="3"/>
      <c r="M29" s="316"/>
      <c r="N29" s="316"/>
    </row>
    <row r="30" spans="2:15" ht="107.2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807.76223866790019</v>
      </c>
      <c r="G30" s="6">
        <f t="shared" ref="G30" si="3">$N$23/$N$24*E30</f>
        <v>815.83986105457927</v>
      </c>
      <c r="H30" s="25">
        <f t="shared" si="0"/>
        <v>-8.0776223866790815</v>
      </c>
      <c r="I30" s="44"/>
    </row>
    <row r="31" spans="2:15" ht="56.25" x14ac:dyDescent="0.25">
      <c r="B31" s="30" t="s">
        <v>206</v>
      </c>
      <c r="C31" s="8" t="s">
        <v>223</v>
      </c>
      <c r="D31" s="22" t="s">
        <v>201</v>
      </c>
      <c r="E31" s="99">
        <v>5.16</v>
      </c>
      <c r="F31" s="23">
        <v>23690.34</v>
      </c>
      <c r="G31" s="6">
        <v>0</v>
      </c>
      <c r="H31" s="25">
        <f>F31-G31</f>
        <v>23690.34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1.65-0.89</f>
        <v>0.7599999999999999</v>
      </c>
      <c r="F32" s="23">
        <f t="shared" si="1"/>
        <v>3231.0489546716003</v>
      </c>
      <c r="G32" s="6">
        <f t="shared" ref="G32" si="4">$N$23/$N$24*E32</f>
        <v>3263.3594442183166</v>
      </c>
      <c r="H32" s="33">
        <f>F32-G32</f>
        <v>-32.310489546716326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15.969999999999999</v>
      </c>
      <c r="F33" s="56">
        <f>SUM(F24:F32)</f>
        <v>67876.351581868643</v>
      </c>
      <c r="G33" s="57">
        <f>SUM(G24:G32)</f>
        <v>44627.871697687333</v>
      </c>
      <c r="H33" s="38">
        <f>SUM(H24:H32)</f>
        <v>23248.47988418131</v>
      </c>
      <c r="I33" s="62"/>
    </row>
    <row r="34" spans="2:15" x14ac:dyDescent="0.25">
      <c r="B34" s="17"/>
      <c r="C34" s="17"/>
      <c r="D34" s="17"/>
      <c r="E34" s="86"/>
      <c r="F34" s="82"/>
      <c r="G34" s="86"/>
      <c r="H34" s="82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40.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465743.47158186871</v>
      </c>
      <c r="D37" s="223"/>
      <c r="E37" s="224">
        <f>F24+F25+F26+F27+F28+F29+F30+F32+E16</f>
        <v>318709.2115818687</v>
      </c>
      <c r="F37" s="225"/>
      <c r="G37" s="224">
        <f>F31+G16</f>
        <v>147034.26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377339.92000000004</v>
      </c>
      <c r="D38" s="221"/>
      <c r="E38" s="220">
        <f>E17+37553.36</f>
        <v>258597.80000000005</v>
      </c>
      <c r="F38" s="221"/>
      <c r="G38" s="220">
        <f>G17+19358.18</f>
        <v>118742.12</v>
      </c>
      <c r="H38" s="251"/>
      <c r="I38" s="76"/>
      <c r="J38" s="77"/>
      <c r="K38" s="12"/>
      <c r="L38" s="9"/>
      <c r="M38" s="318"/>
    </row>
    <row r="39" spans="2:15" ht="16.5" thickBot="1" x14ac:dyDescent="0.3">
      <c r="B39" s="95" t="s">
        <v>189</v>
      </c>
      <c r="C39" s="227">
        <f>E39+G39</f>
        <v>374758.3861976873</v>
      </c>
      <c r="D39" s="228"/>
      <c r="E39" s="246">
        <f>G24+G25+G26+G27+G28+G29+G30+G32+E18</f>
        <v>316151.3861976873</v>
      </c>
      <c r="F39" s="247"/>
      <c r="G39" s="246">
        <f>G31+G18</f>
        <v>58607</v>
      </c>
      <c r="H39" s="252"/>
      <c r="I39" s="76"/>
      <c r="J39" s="77"/>
      <c r="K39" s="44"/>
      <c r="L39" s="44"/>
    </row>
    <row r="40" spans="2:15" ht="36.75" thickBot="1" x14ac:dyDescent="0.3">
      <c r="B40" s="97" t="s">
        <v>298</v>
      </c>
      <c r="C40" s="216">
        <f>E40+G40</f>
        <v>2581.5338023127406</v>
      </c>
      <c r="D40" s="217"/>
      <c r="E40" s="248">
        <f>E38-E39</f>
        <v>-57553.586197687255</v>
      </c>
      <c r="F40" s="254"/>
      <c r="G40" s="248">
        <f>G38-G39</f>
        <v>60135.119999999995</v>
      </c>
      <c r="H40" s="249"/>
      <c r="I40" s="76"/>
      <c r="J40" s="77"/>
      <c r="K40" s="44"/>
      <c r="L40" s="44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4"/>
      <c r="M41" s="316"/>
      <c r="N41" s="316"/>
      <c r="O41" s="4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4"/>
      <c r="M42" s="316"/>
      <c r="N42" s="316"/>
      <c r="O42" s="4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0.5" customHeight="1" x14ac:dyDescent="0.25">
      <c r="E48" s="209"/>
    </row>
  </sheetData>
  <mergeCells count="54">
    <mergeCell ref="G15:H15"/>
    <mergeCell ref="B35:H35"/>
    <mergeCell ref="E36:F36"/>
    <mergeCell ref="G36:H36"/>
    <mergeCell ref="E37:F37"/>
    <mergeCell ref="G37:H37"/>
    <mergeCell ref="C36:D36"/>
    <mergeCell ref="C37:D37"/>
    <mergeCell ref="E16:F16"/>
    <mergeCell ref="G16:H16"/>
    <mergeCell ref="E17:F17"/>
    <mergeCell ref="G17:H17"/>
    <mergeCell ref="E18:F18"/>
    <mergeCell ref="G18:H18"/>
    <mergeCell ref="E19:F19"/>
    <mergeCell ref="G19:H19"/>
    <mergeCell ref="F41:G41"/>
    <mergeCell ref="E40:F40"/>
    <mergeCell ref="E39:F39"/>
    <mergeCell ref="E38:F38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F47:G47"/>
    <mergeCell ref="F45:G45"/>
    <mergeCell ref="F43:G43"/>
    <mergeCell ref="F44:G44"/>
    <mergeCell ref="F42:G42"/>
    <mergeCell ref="C15:D15"/>
    <mergeCell ref="C16:D16"/>
    <mergeCell ref="C17:D17"/>
    <mergeCell ref="C18:D18"/>
    <mergeCell ref="C19:D19"/>
    <mergeCell ref="M21:M22"/>
    <mergeCell ref="N21:N22"/>
    <mergeCell ref="G38:H38"/>
    <mergeCell ref="G39:H39"/>
    <mergeCell ref="G40:H40"/>
    <mergeCell ref="C41:E41"/>
    <mergeCell ref="C43:E43"/>
    <mergeCell ref="C45:E45"/>
    <mergeCell ref="C47:E47"/>
    <mergeCell ref="C38:D38"/>
    <mergeCell ref="C39:D39"/>
    <mergeCell ref="C40:D40"/>
  </mergeCells>
  <printOptions horizontalCentered="1"/>
  <pageMargins left="0.19685039370078741" right="0.19685039370078741" top="0.15748031496062992" bottom="0.35433070866141736" header="0.31496062992125984" footer="0.23622047244094491"/>
  <pageSetup paperSize="9" scale="4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13" zoomScale="110" zoomScaleNormal="110" workbookViewId="0">
      <selection activeCell="M13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42578125" style="5" customWidth="1"/>
    <col min="3" max="3" width="20.5703125" style="82" customWidth="1"/>
    <col min="4" max="4" width="9" style="82" customWidth="1"/>
    <col min="5" max="5" width="10.28515625" style="82" customWidth="1"/>
    <col min="6" max="7" width="10.28515625" style="5" customWidth="1"/>
    <col min="8" max="8" width="11" style="5" customWidth="1"/>
    <col min="9" max="9" width="10.7109375" style="5" bestFit="1" customWidth="1"/>
    <col min="10" max="12" width="9.140625" style="5"/>
    <col min="13" max="13" width="13.5703125" style="310" customWidth="1"/>
    <col min="14" max="14" width="12.855468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9.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134</v>
      </c>
      <c r="E5" s="234"/>
      <c r="F5" s="10"/>
    </row>
    <row r="6" spans="1:9" x14ac:dyDescent="0.25">
      <c r="B6" s="10" t="s">
        <v>1</v>
      </c>
      <c r="C6" s="48"/>
      <c r="D6" s="207">
        <v>1956</v>
      </c>
      <c r="E6" s="207"/>
      <c r="F6" s="10"/>
    </row>
    <row r="7" spans="1:9" hidden="1" outlineLevel="1" x14ac:dyDescent="0.25">
      <c r="B7" s="10" t="s">
        <v>2</v>
      </c>
      <c r="C7" s="48"/>
      <c r="D7" s="207">
        <v>2</v>
      </c>
      <c r="E7" s="207"/>
      <c r="F7" s="10"/>
    </row>
    <row r="8" spans="1:9" hidden="1" outlineLevel="1" x14ac:dyDescent="0.25">
      <c r="B8" s="10" t="s">
        <v>3</v>
      </c>
      <c r="C8" s="48"/>
      <c r="D8" s="207">
        <v>8</v>
      </c>
      <c r="E8" s="207"/>
      <c r="F8" s="10"/>
    </row>
    <row r="9" spans="1:9" ht="30.75" hidden="1" customHeight="1" outlineLevel="1" x14ac:dyDescent="0.25">
      <c r="B9" s="122" t="s">
        <v>4</v>
      </c>
      <c r="C9" s="133"/>
      <c r="D9" s="207" t="s">
        <v>135</v>
      </c>
      <c r="E9" s="207"/>
      <c r="F9" s="10"/>
    </row>
    <row r="10" spans="1:9" collapsed="1" x14ac:dyDescent="0.25">
      <c r="B10" s="10" t="s">
        <v>5</v>
      </c>
      <c r="C10" s="48"/>
      <c r="D10" s="207" t="s">
        <v>267</v>
      </c>
      <c r="E10" s="207"/>
      <c r="F10" s="10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136</v>
      </c>
      <c r="E12" s="208"/>
      <c r="I12" s="17"/>
    </row>
    <row r="13" spans="1:9" ht="10.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4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411177.35000000003</v>
      </c>
      <c r="D16" s="253"/>
      <c r="E16" s="224">
        <v>303335.52</v>
      </c>
      <c r="F16" s="225"/>
      <c r="G16" s="224">
        <v>107841.83</v>
      </c>
      <c r="H16" s="226"/>
      <c r="I16" s="17"/>
    </row>
    <row r="17" spans="2:15" x14ac:dyDescent="0.25">
      <c r="B17" s="94" t="s">
        <v>16</v>
      </c>
      <c r="C17" s="220">
        <v>351960.26</v>
      </c>
      <c r="D17" s="221"/>
      <c r="E17" s="220">
        <v>260148.77000000002</v>
      </c>
      <c r="F17" s="221"/>
      <c r="G17" s="220">
        <v>91811.49</v>
      </c>
      <c r="H17" s="251"/>
      <c r="I17" s="17"/>
    </row>
    <row r="18" spans="2:15" ht="16.5" thickBot="1" x14ac:dyDescent="0.3">
      <c r="B18" s="95" t="s">
        <v>189</v>
      </c>
      <c r="C18" s="220">
        <v>380605.85090000002</v>
      </c>
      <c r="D18" s="221"/>
      <c r="E18" s="246">
        <v>301229.85090000002</v>
      </c>
      <c r="F18" s="247"/>
      <c r="G18" s="246">
        <v>79376</v>
      </c>
      <c r="H18" s="252"/>
      <c r="I18" s="17"/>
    </row>
    <row r="19" spans="2:15" ht="30.75" customHeight="1" thickBot="1" x14ac:dyDescent="0.3">
      <c r="B19" s="97" t="s">
        <v>297</v>
      </c>
      <c r="C19" s="216">
        <f>E19+G19</f>
        <v>-28645.590899999996</v>
      </c>
      <c r="D19" s="217"/>
      <c r="E19" s="248">
        <f>E17-E18</f>
        <v>-41081.080900000001</v>
      </c>
      <c r="F19" s="254"/>
      <c r="G19" s="248">
        <f>G17-G18</f>
        <v>12435.490000000005</v>
      </c>
      <c r="H19" s="249"/>
      <c r="I19" s="17"/>
    </row>
    <row r="20" spans="2:15" x14ac:dyDescent="0.25">
      <c r="B20" s="14"/>
      <c r="C20" s="79"/>
      <c r="D20" s="91"/>
      <c r="E20" s="208"/>
      <c r="I20" s="17"/>
    </row>
    <row r="21" spans="2:15" ht="20.2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55898.39</v>
      </c>
      <c r="N23" s="314">
        <f>M23*1.01</f>
        <v>56457.373899999999</v>
      </c>
    </row>
    <row r="24" spans="2:15" ht="56.25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5516.9733147113593</v>
      </c>
      <c r="G24" s="24">
        <f>$N$23/$N$24*E24</f>
        <v>5572.1430478584734</v>
      </c>
      <c r="H24" s="25">
        <f>F24-G24</f>
        <v>-55.16973314711413</v>
      </c>
      <c r="I24" s="60"/>
      <c r="J24" s="27"/>
      <c r="K24" s="27"/>
      <c r="L24" s="28"/>
      <c r="M24" s="315">
        <f>E33-E31</f>
        <v>10.74</v>
      </c>
      <c r="N24" s="315">
        <f>E33-E31</f>
        <v>10.74</v>
      </c>
      <c r="O24" s="27"/>
    </row>
    <row r="25" spans="2:15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6193.5832495344494</v>
      </c>
      <c r="G25" s="6">
        <f>$N$23/$N$24*E25</f>
        <v>6255.5190820297948</v>
      </c>
      <c r="H25" s="25">
        <f t="shared" ref="H25:H30" si="0">F25-G25</f>
        <v>-61.935832495345494</v>
      </c>
      <c r="I25" s="61"/>
      <c r="J25" s="4"/>
      <c r="K25" s="4"/>
      <c r="L25" s="4"/>
      <c r="M25" s="316"/>
      <c r="N25" s="316"/>
      <c r="O25" s="4"/>
    </row>
    <row r="26" spans="2:15" ht="56.2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1665.5013780260706</v>
      </c>
      <c r="G26" s="6">
        <f t="shared" ref="G26:G29" si="2">$N$23/$N$24*E26</f>
        <v>1682.1563918063316</v>
      </c>
      <c r="H26" s="25">
        <f t="shared" si="0"/>
        <v>-16.655013780261015</v>
      </c>
      <c r="I26" s="44"/>
      <c r="L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</v>
      </c>
      <c r="F27" s="23">
        <f t="shared" si="1"/>
        <v>0</v>
      </c>
      <c r="G27" s="6">
        <f t="shared" si="2"/>
        <v>0</v>
      </c>
      <c r="H27" s="25">
        <f t="shared" si="0"/>
        <v>0</v>
      </c>
      <c r="I27" s="44"/>
      <c r="L27" s="17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6141.5363314711349</v>
      </c>
      <c r="G28" s="6">
        <f t="shared" si="2"/>
        <v>6202.9516947858474</v>
      </c>
      <c r="H28" s="25">
        <f t="shared" si="0"/>
        <v>-61.415363314712522</v>
      </c>
      <c r="I28" s="44"/>
    </row>
    <row r="29" spans="2:15" ht="217.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29198.321033519551</v>
      </c>
      <c r="G29" s="6">
        <f t="shared" si="2"/>
        <v>29490.304243854753</v>
      </c>
      <c r="H29" s="25">
        <f t="shared" si="0"/>
        <v>-291.98321033520187</v>
      </c>
      <c r="I29" s="61"/>
      <c r="J29" s="4"/>
      <c r="K29" s="4"/>
      <c r="L29" s="3"/>
      <c r="M29" s="316"/>
      <c r="N29" s="316"/>
    </row>
    <row r="30" spans="2:15" ht="107.25" customHeight="1" x14ac:dyDescent="0.25">
      <c r="B30" s="29" t="s">
        <v>205</v>
      </c>
      <c r="C30" s="8" t="s">
        <v>223</v>
      </c>
      <c r="D30" s="22" t="s">
        <v>201</v>
      </c>
      <c r="E30" s="99">
        <v>0.24</v>
      </c>
      <c r="F30" s="23">
        <f t="shared" si="1"/>
        <v>1249.1260335195529</v>
      </c>
      <c r="G30" s="6">
        <f t="shared" ref="G30" si="3">$N$23/$N$24*E30</f>
        <v>1261.6172938547486</v>
      </c>
      <c r="H30" s="25">
        <f t="shared" si="0"/>
        <v>-12.491260335195648</v>
      </c>
      <c r="I30" s="44"/>
    </row>
    <row r="31" spans="2:15" ht="56.25" x14ac:dyDescent="0.25">
      <c r="B31" s="30" t="s">
        <v>206</v>
      </c>
      <c r="C31" s="8" t="s">
        <v>223</v>
      </c>
      <c r="D31" s="22" t="s">
        <v>201</v>
      </c>
      <c r="E31" s="99">
        <v>0</v>
      </c>
      <c r="F31" s="23">
        <v>0</v>
      </c>
      <c r="G31" s="6">
        <v>1427</v>
      </c>
      <c r="H31" s="25">
        <f>F31-G31</f>
        <v>-1427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1.67-0.53</f>
        <v>1.1399999999999999</v>
      </c>
      <c r="F32" s="23">
        <f t="shared" si="1"/>
        <v>5933.348659217876</v>
      </c>
      <c r="G32" s="6">
        <f t="shared" ref="G32" si="4">$N$23/$N$24*E32</f>
        <v>5992.6821458100558</v>
      </c>
      <c r="H32" s="33">
        <f>F32-G32</f>
        <v>-59.333486592179725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10.74</v>
      </c>
      <c r="F33" s="56">
        <f>SUM(F24:F32)</f>
        <v>55898.389999999992</v>
      </c>
      <c r="G33" s="57">
        <f>SUM(G24:G32)</f>
        <v>57884.373899999999</v>
      </c>
      <c r="H33" s="38">
        <f>SUM(H24:H32)</f>
        <v>-1985.9839000000104</v>
      </c>
      <c r="I33" s="62"/>
    </row>
    <row r="34" spans="2:15" x14ac:dyDescent="0.25">
      <c r="B34" s="17"/>
      <c r="C34" s="17"/>
      <c r="D34" s="17"/>
      <c r="E34" s="86"/>
      <c r="F34" s="82"/>
      <c r="G34" s="86"/>
      <c r="H34" s="82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42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467075.74000000005</v>
      </c>
      <c r="D37" s="223"/>
      <c r="E37" s="224">
        <f>F24+F25+F26+F27+F28+F29+F30+F32+E16</f>
        <v>359233.91000000003</v>
      </c>
      <c r="F37" s="225"/>
      <c r="G37" s="224">
        <f>F31+G16</f>
        <v>107841.83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392545.49</v>
      </c>
      <c r="D38" s="221"/>
      <c r="E38" s="220">
        <f>E17+40585.23</f>
        <v>300734</v>
      </c>
      <c r="F38" s="221"/>
      <c r="G38" s="220">
        <f>G17</f>
        <v>91811.49</v>
      </c>
      <c r="H38" s="251"/>
      <c r="I38" s="76"/>
      <c r="J38" s="77"/>
      <c r="K38" s="12"/>
      <c r="L38" s="9"/>
      <c r="M38" s="318"/>
    </row>
    <row r="39" spans="2:15" ht="16.5" thickBot="1" x14ac:dyDescent="0.3">
      <c r="B39" s="95" t="s">
        <v>189</v>
      </c>
      <c r="C39" s="227">
        <f>E39+G39</f>
        <v>438490.22480000003</v>
      </c>
      <c r="D39" s="228"/>
      <c r="E39" s="246">
        <f>G24+G25+G26+G27+G28+G29+G30+G32+E18</f>
        <v>357687.22480000003</v>
      </c>
      <c r="F39" s="247"/>
      <c r="G39" s="246">
        <f>G31+G18</f>
        <v>80803</v>
      </c>
      <c r="H39" s="252"/>
      <c r="I39" s="76"/>
      <c r="J39" s="77"/>
      <c r="K39" s="44"/>
      <c r="L39" s="44"/>
    </row>
    <row r="40" spans="2:15" ht="36.75" thickBot="1" x14ac:dyDescent="0.3">
      <c r="B40" s="97" t="s">
        <v>298</v>
      </c>
      <c r="C40" s="216">
        <f>E40+G40</f>
        <v>-45944.73480000002</v>
      </c>
      <c r="D40" s="217"/>
      <c r="E40" s="248">
        <f>E38-E39</f>
        <v>-56953.224800000025</v>
      </c>
      <c r="F40" s="254"/>
      <c r="G40" s="248">
        <f>G38-G39</f>
        <v>11008.490000000005</v>
      </c>
      <c r="H40" s="249"/>
      <c r="I40" s="76"/>
      <c r="J40" s="77"/>
      <c r="K40" s="44"/>
      <c r="L40" s="44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4"/>
      <c r="M41" s="316"/>
      <c r="N41" s="316"/>
      <c r="O41" s="4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4"/>
      <c r="M42" s="316"/>
      <c r="N42" s="316"/>
      <c r="O42" s="4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0.5" customHeight="1" x14ac:dyDescent="0.25">
      <c r="E48" s="209"/>
    </row>
  </sheetData>
  <mergeCells count="54"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8:F18"/>
    <mergeCell ref="G18:H18"/>
    <mergeCell ref="E19:F19"/>
    <mergeCell ref="E38:F38"/>
    <mergeCell ref="G38:H38"/>
    <mergeCell ref="E39:F39"/>
    <mergeCell ref="G39:H39"/>
    <mergeCell ref="C39:D39"/>
    <mergeCell ref="F44:G44"/>
    <mergeCell ref="E40:F40"/>
    <mergeCell ref="G40:H40"/>
    <mergeCell ref="F41:G41"/>
    <mergeCell ref="C41:E41"/>
    <mergeCell ref="C43:E43"/>
    <mergeCell ref="C40:D40"/>
    <mergeCell ref="G19:H19"/>
    <mergeCell ref="E16:F16"/>
    <mergeCell ref="G16:H16"/>
    <mergeCell ref="E17:F17"/>
    <mergeCell ref="G17:H17"/>
    <mergeCell ref="C15:D15"/>
    <mergeCell ref="C16:D16"/>
    <mergeCell ref="C17:D17"/>
    <mergeCell ref="C18:D18"/>
    <mergeCell ref="C19:D19"/>
    <mergeCell ref="C45:E45"/>
    <mergeCell ref="C47:E47"/>
    <mergeCell ref="M21:M22"/>
    <mergeCell ref="N21:N22"/>
    <mergeCell ref="C36:D36"/>
    <mergeCell ref="C37:D37"/>
    <mergeCell ref="C38:D38"/>
    <mergeCell ref="B35:H35"/>
    <mergeCell ref="E36:F36"/>
    <mergeCell ref="G36:H36"/>
    <mergeCell ref="E37:F37"/>
    <mergeCell ref="G37:H37"/>
    <mergeCell ref="F45:G45"/>
    <mergeCell ref="F47:G47"/>
    <mergeCell ref="F42:G42"/>
    <mergeCell ref="F43:G43"/>
  </mergeCells>
  <printOptions horizontalCentered="1"/>
  <pageMargins left="0.19685039370078741" right="0.27559055118110237" top="0.15748031496062992" bottom="0.27559055118110237" header="0.31496062992125984" footer="0.23622047244094491"/>
  <pageSetup paperSize="9"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2" zoomScale="110" zoomScaleNormal="110" workbookViewId="0">
      <selection activeCell="M2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85546875" style="5" customWidth="1"/>
    <col min="3" max="3" width="22.42578125" style="82" customWidth="1"/>
    <col min="4" max="4" width="9.42578125" style="82" customWidth="1"/>
    <col min="5" max="5" width="10" style="82" customWidth="1"/>
    <col min="6" max="6" width="10.5703125" style="5" customWidth="1"/>
    <col min="7" max="7" width="12.28515625" style="5" customWidth="1"/>
    <col min="8" max="8" width="10.28515625" style="5" customWidth="1"/>
    <col min="9" max="9" width="10.7109375" style="5" bestFit="1" customWidth="1"/>
    <col min="10" max="12" width="9.140625" style="5"/>
    <col min="13" max="13" width="12.85546875" style="310" customWidth="1"/>
    <col min="14" max="14" width="13.285156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4.2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137</v>
      </c>
      <c r="E5" s="234"/>
    </row>
    <row r="6" spans="1:9" x14ac:dyDescent="0.25">
      <c r="B6" s="10" t="s">
        <v>1</v>
      </c>
      <c r="C6" s="48"/>
      <c r="D6" s="207">
        <v>1961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16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138</v>
      </c>
      <c r="E9" s="207"/>
    </row>
    <row r="10" spans="1:9" collapsed="1" x14ac:dyDescent="0.25">
      <c r="B10" s="10" t="s">
        <v>5</v>
      </c>
      <c r="C10" s="48"/>
      <c r="D10" s="207" t="s">
        <v>269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139</v>
      </c>
      <c r="E12" s="208"/>
      <c r="I12" s="17"/>
    </row>
    <row r="13" spans="1:9" ht="9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7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674471.82000000007</v>
      </c>
      <c r="D16" s="253"/>
      <c r="E16" s="224">
        <v>465282.74000000005</v>
      </c>
      <c r="F16" s="225"/>
      <c r="G16" s="224">
        <v>209189.08000000002</v>
      </c>
      <c r="H16" s="226"/>
      <c r="I16" s="17"/>
    </row>
    <row r="17" spans="2:15" x14ac:dyDescent="0.25">
      <c r="B17" s="94" t="s">
        <v>16</v>
      </c>
      <c r="C17" s="220">
        <v>588860.93999999994</v>
      </c>
      <c r="D17" s="221"/>
      <c r="E17" s="220">
        <v>408899.93</v>
      </c>
      <c r="F17" s="221"/>
      <c r="G17" s="220">
        <v>179961.01</v>
      </c>
      <c r="H17" s="251"/>
      <c r="I17" s="17"/>
    </row>
    <row r="18" spans="2:15" ht="16.5" thickBot="1" x14ac:dyDescent="0.3">
      <c r="B18" s="95" t="s">
        <v>189</v>
      </c>
      <c r="C18" s="220">
        <v>674040.77399999998</v>
      </c>
      <c r="D18" s="221"/>
      <c r="E18" s="246">
        <v>462628.97400000005</v>
      </c>
      <c r="F18" s="247"/>
      <c r="G18" s="246">
        <v>211411.8</v>
      </c>
      <c r="H18" s="252"/>
      <c r="I18" s="17"/>
    </row>
    <row r="19" spans="2:15" ht="30" customHeight="1" thickBot="1" x14ac:dyDescent="0.3">
      <c r="B19" s="97" t="s">
        <v>297</v>
      </c>
      <c r="C19" s="216">
        <f>E19+G19</f>
        <v>-85179.834000000032</v>
      </c>
      <c r="D19" s="217"/>
      <c r="E19" s="248">
        <f>E17-E18</f>
        <v>-53729.044000000053</v>
      </c>
      <c r="F19" s="254"/>
      <c r="G19" s="248">
        <f>G17-G18</f>
        <v>-31450.789999999979</v>
      </c>
      <c r="H19" s="249"/>
      <c r="I19" s="17"/>
    </row>
    <row r="20" spans="2:15" x14ac:dyDescent="0.25">
      <c r="B20" s="14"/>
      <c r="C20" s="79"/>
      <c r="D20" s="91"/>
      <c r="E20" s="208"/>
      <c r="I20" s="17"/>
    </row>
    <row r="21" spans="2:15" ht="18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77912.929999999993</v>
      </c>
      <c r="N23" s="314">
        <f>M23*1.01</f>
        <v>78692.059299999994</v>
      </c>
    </row>
    <row r="24" spans="2:15" ht="56.25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7639.9357816836273</v>
      </c>
      <c r="G24" s="24">
        <f>$N$23/$N$24*E24</f>
        <v>7716.3351395004638</v>
      </c>
      <c r="H24" s="25">
        <f>F24-G24</f>
        <v>-76.399357816836527</v>
      </c>
      <c r="I24" s="60"/>
      <c r="J24" s="27"/>
      <c r="K24" s="27"/>
      <c r="L24" s="28"/>
      <c r="M24" s="315">
        <f>E33-E31</f>
        <v>10.809999999999999</v>
      </c>
      <c r="N24" s="315">
        <f>E33-E31</f>
        <v>10.809999999999999</v>
      </c>
      <c r="O24" s="27"/>
    </row>
    <row r="25" spans="2:15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8576.9090379278441</v>
      </c>
      <c r="G25" s="6">
        <f>$N$23/$N$24*E25</f>
        <v>8662.6781283071232</v>
      </c>
      <c r="H25" s="25">
        <f t="shared" ref="H25:H30" si="0">F25-G25</f>
        <v>-85.769090379279078</v>
      </c>
      <c r="I25" s="61"/>
      <c r="J25" s="4"/>
      <c r="K25" s="4"/>
      <c r="L25" s="4"/>
      <c r="M25" s="316"/>
      <c r="N25" s="316"/>
      <c r="O25" s="4"/>
    </row>
    <row r="26" spans="2:15" ht="56.2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2306.3957076780762</v>
      </c>
      <c r="G26" s="6">
        <f t="shared" ref="G26:G29" si="2">$N$23/$N$24*E26</f>
        <v>2329.4596647548569</v>
      </c>
      <c r="H26" s="25">
        <f t="shared" si="0"/>
        <v>-23.063957076780753</v>
      </c>
      <c r="I26" s="44"/>
      <c r="L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600.62388220783225</v>
      </c>
      <c r="G27" s="6">
        <f>($N$23/12*2)/$N$24*E27</f>
        <v>606.63012102991058</v>
      </c>
      <c r="H27" s="25">
        <f t="shared" si="0"/>
        <v>-6.0062388220783305</v>
      </c>
      <c r="I27" s="44"/>
      <c r="L27" s="17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8504.8341720629051</v>
      </c>
      <c r="G28" s="6">
        <f t="shared" si="2"/>
        <v>8589.8825137835338</v>
      </c>
      <c r="H28" s="25">
        <f t="shared" si="0"/>
        <v>-85.048341720628741</v>
      </c>
      <c r="I28" s="44"/>
    </row>
    <row r="29" spans="2:15" ht="212.2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40433.999750231269</v>
      </c>
      <c r="G29" s="6">
        <f t="shared" si="2"/>
        <v>40838.339747733582</v>
      </c>
      <c r="H29" s="25">
        <f t="shared" si="0"/>
        <v>-404.33999750231305</v>
      </c>
      <c r="I29" s="61"/>
      <c r="J29" s="4"/>
      <c r="K29" s="4"/>
      <c r="L29" s="3"/>
      <c r="M29" s="316"/>
      <c r="N29" s="316"/>
    </row>
    <row r="30" spans="2:15" ht="123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1369.4224514338575</v>
      </c>
      <c r="G30" s="6">
        <f t="shared" ref="G30" si="3">$N$23/$N$24*E30</f>
        <v>1383.1166759481962</v>
      </c>
      <c r="H30" s="25">
        <f t="shared" si="0"/>
        <v>-13.694224514338657</v>
      </c>
      <c r="I30" s="44"/>
    </row>
    <row r="31" spans="2:15" ht="56.25" x14ac:dyDescent="0.25">
      <c r="B31" s="30" t="s">
        <v>206</v>
      </c>
      <c r="C31" s="8" t="s">
        <v>223</v>
      </c>
      <c r="D31" s="22" t="s">
        <v>201</v>
      </c>
      <c r="E31" s="99">
        <v>5.16</v>
      </c>
      <c r="F31" s="23">
        <v>40162.910000000003</v>
      </c>
      <c r="G31" s="6">
        <v>1593</v>
      </c>
      <c r="H31" s="25">
        <f>F31-G31</f>
        <v>38569.910000000003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1.65-0.89</f>
        <v>0.7599999999999999</v>
      </c>
      <c r="F32" s="23">
        <f t="shared" si="1"/>
        <v>5477.6898057354301</v>
      </c>
      <c r="G32" s="6">
        <f t="shared" ref="G32" si="4">$N$23/$N$24*E32</f>
        <v>5532.4667037927838</v>
      </c>
      <c r="H32" s="33">
        <f>F32-G32</f>
        <v>-54.776898057353719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15.969999999999999</v>
      </c>
      <c r="F33" s="56">
        <f>SUM(F24:F32)</f>
        <v>115072.72058896084</v>
      </c>
      <c r="G33" s="57">
        <f>SUM(G24:G32)</f>
        <v>77251.908694850456</v>
      </c>
      <c r="H33" s="38">
        <f>SUM(H24:H32)</f>
        <v>37820.811894110397</v>
      </c>
      <c r="I33" s="62"/>
    </row>
    <row r="34" spans="2:15" x14ac:dyDescent="0.25">
      <c r="B34" s="17"/>
      <c r="C34" s="17"/>
      <c r="D34" s="17"/>
      <c r="E34" s="86"/>
      <c r="F34" s="82"/>
      <c r="G34" s="86"/>
      <c r="H34" s="82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39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789544.54058896087</v>
      </c>
      <c r="D37" s="223"/>
      <c r="E37" s="224">
        <f>F24+F25+F26+F27+F28+F29+F30+F32+E16</f>
        <v>540192.55058896088</v>
      </c>
      <c r="F37" s="225"/>
      <c r="G37" s="224">
        <f>F31+G16</f>
        <v>249351.99000000002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687692.45</v>
      </c>
      <c r="D38" s="221"/>
      <c r="E38" s="220">
        <f>E17+65214.46</f>
        <v>474114.39</v>
      </c>
      <c r="F38" s="221"/>
      <c r="G38" s="220">
        <f>G17+33617.05</f>
        <v>213578.06</v>
      </c>
      <c r="H38" s="251"/>
      <c r="I38" s="76"/>
      <c r="J38" s="77"/>
      <c r="K38" s="12"/>
      <c r="L38" s="9"/>
      <c r="M38" s="318"/>
    </row>
    <row r="39" spans="2:15" ht="16.5" thickBot="1" x14ac:dyDescent="0.3">
      <c r="B39" s="95" t="s">
        <v>189</v>
      </c>
      <c r="C39" s="227">
        <f>E39+G39</f>
        <v>751292.68269485049</v>
      </c>
      <c r="D39" s="228"/>
      <c r="E39" s="246">
        <f>G24+G25+G26+G27+G28+G29+G30+G32+E18</f>
        <v>538287.88269485044</v>
      </c>
      <c r="F39" s="247"/>
      <c r="G39" s="246">
        <f>G31+G18</f>
        <v>213004.79999999999</v>
      </c>
      <c r="H39" s="252"/>
      <c r="I39" s="76"/>
      <c r="J39" s="77"/>
      <c r="K39" s="44"/>
      <c r="L39" s="44"/>
    </row>
    <row r="40" spans="2:15" ht="32.25" customHeight="1" thickBot="1" x14ac:dyDescent="0.3">
      <c r="B40" s="97" t="s">
        <v>298</v>
      </c>
      <c r="C40" s="216">
        <f>E40+G40</f>
        <v>-63600.23269485042</v>
      </c>
      <c r="D40" s="217"/>
      <c r="E40" s="248">
        <f>E38-E39</f>
        <v>-64173.492694850429</v>
      </c>
      <c r="F40" s="254"/>
      <c r="G40" s="248">
        <f>G38-G39</f>
        <v>573.26000000000931</v>
      </c>
      <c r="H40" s="249"/>
      <c r="I40" s="76"/>
      <c r="J40" s="77"/>
      <c r="K40" s="44"/>
      <c r="L40" s="44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4"/>
      <c r="M41" s="316"/>
      <c r="N41" s="316"/>
      <c r="O41" s="4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4"/>
      <c r="M42" s="316"/>
      <c r="N42" s="316"/>
      <c r="O42" s="4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9.75" customHeight="1" x14ac:dyDescent="0.25">
      <c r="E48" s="209"/>
    </row>
  </sheetData>
  <mergeCells count="54">
    <mergeCell ref="F47:G47"/>
    <mergeCell ref="G40:H40"/>
    <mergeCell ref="E40:F40"/>
    <mergeCell ref="F41:G41"/>
    <mergeCell ref="F42:G42"/>
    <mergeCell ref="F44:G44"/>
    <mergeCell ref="F45:G45"/>
    <mergeCell ref="F43:G43"/>
    <mergeCell ref="C41:E41"/>
    <mergeCell ref="C43:E43"/>
    <mergeCell ref="C45:E45"/>
    <mergeCell ref="C47:E47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6:F16"/>
    <mergeCell ref="G16:H16"/>
    <mergeCell ref="E17:F17"/>
    <mergeCell ref="G17:H17"/>
    <mergeCell ref="C39:D39"/>
    <mergeCell ref="C40:D40"/>
    <mergeCell ref="C15:D15"/>
    <mergeCell ref="C16:D16"/>
    <mergeCell ref="C17:D17"/>
    <mergeCell ref="C18:D18"/>
    <mergeCell ref="C19:D19"/>
    <mergeCell ref="B35:H35"/>
    <mergeCell ref="E39:F39"/>
    <mergeCell ref="G39:H39"/>
    <mergeCell ref="E18:F18"/>
    <mergeCell ref="G18:H18"/>
    <mergeCell ref="E19:F19"/>
    <mergeCell ref="G19:H19"/>
    <mergeCell ref="E36:F36"/>
    <mergeCell ref="M21:M22"/>
    <mergeCell ref="N21:N22"/>
    <mergeCell ref="C36:D36"/>
    <mergeCell ref="C37:D37"/>
    <mergeCell ref="C38:D38"/>
    <mergeCell ref="G36:H36"/>
    <mergeCell ref="E37:F37"/>
    <mergeCell ref="G37:H37"/>
    <mergeCell ref="E38:F38"/>
    <mergeCell ref="G38:H38"/>
  </mergeCells>
  <printOptions horizontalCentered="1"/>
  <pageMargins left="0.19685039370078741" right="0.27559055118110237" top="0.15748031496062992" bottom="0.27559055118110237" header="0.31496062992125984" footer="0.23622047244094491"/>
  <pageSetup paperSize="9" scale="4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B1" zoomScale="110" zoomScaleNormal="110" workbookViewId="0">
      <selection activeCell="M1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7" style="5" customWidth="1"/>
    <col min="3" max="3" width="21.140625" style="82" customWidth="1"/>
    <col min="4" max="4" width="8.5703125" style="82" customWidth="1"/>
    <col min="5" max="5" width="10.28515625" style="82" customWidth="1"/>
    <col min="6" max="6" width="9.85546875" style="5" customWidth="1"/>
    <col min="7" max="7" width="10.42578125" style="5" customWidth="1"/>
    <col min="8" max="8" width="10.7109375" style="5" customWidth="1"/>
    <col min="9" max="9" width="10.7109375" style="5" bestFit="1" customWidth="1"/>
    <col min="10" max="12" width="9.140625" style="5"/>
    <col min="13" max="13" width="14.28515625" style="310" customWidth="1"/>
    <col min="14" max="14" width="16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4.2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140</v>
      </c>
      <c r="E5" s="234"/>
    </row>
    <row r="6" spans="1:9" x14ac:dyDescent="0.25">
      <c r="B6" s="10" t="s">
        <v>1</v>
      </c>
      <c r="C6" s="48"/>
      <c r="D6" s="207">
        <v>1956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8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141</v>
      </c>
      <c r="E9" s="207"/>
    </row>
    <row r="10" spans="1:9" collapsed="1" x14ac:dyDescent="0.25">
      <c r="B10" s="10" t="s">
        <v>5</v>
      </c>
      <c r="C10" s="48"/>
      <c r="D10" s="207" t="s">
        <v>270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136</v>
      </c>
      <c r="E12" s="208"/>
      <c r="I12" s="17"/>
    </row>
    <row r="13" spans="1:9" ht="9.7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6.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465426.30000000005</v>
      </c>
      <c r="D16" s="223"/>
      <c r="E16" s="222">
        <v>321793.19</v>
      </c>
      <c r="F16" s="223"/>
      <c r="G16" s="222">
        <v>143633.11000000002</v>
      </c>
      <c r="H16" s="256"/>
      <c r="I16" s="17"/>
    </row>
    <row r="17" spans="2:15" x14ac:dyDescent="0.25">
      <c r="B17" s="94" t="s">
        <v>16</v>
      </c>
      <c r="C17" s="220">
        <v>430026.7</v>
      </c>
      <c r="D17" s="221"/>
      <c r="E17" s="220">
        <v>296404.74</v>
      </c>
      <c r="F17" s="221"/>
      <c r="G17" s="220">
        <v>133621.96000000002</v>
      </c>
      <c r="H17" s="251"/>
      <c r="I17" s="17"/>
    </row>
    <row r="18" spans="2:15" ht="16.5" thickBot="1" x14ac:dyDescent="0.3">
      <c r="B18" s="95" t="s">
        <v>189</v>
      </c>
      <c r="C18" s="227">
        <v>413892.88119999995</v>
      </c>
      <c r="D18" s="228"/>
      <c r="E18" s="227">
        <v>325159.88119999995</v>
      </c>
      <c r="F18" s="228"/>
      <c r="G18" s="227">
        <v>88733</v>
      </c>
      <c r="H18" s="250"/>
      <c r="I18" s="17"/>
    </row>
    <row r="19" spans="2:15" ht="29.25" customHeight="1" thickBot="1" x14ac:dyDescent="0.3">
      <c r="B19" s="97" t="s">
        <v>297</v>
      </c>
      <c r="C19" s="216">
        <f>E19+G19</f>
        <v>16133.818800000066</v>
      </c>
      <c r="D19" s="217"/>
      <c r="E19" s="248">
        <f>E17-E18</f>
        <v>-28755.141199999955</v>
      </c>
      <c r="F19" s="254"/>
      <c r="G19" s="248">
        <f>G17-G18</f>
        <v>44888.960000000021</v>
      </c>
      <c r="H19" s="249"/>
      <c r="I19" s="17"/>
    </row>
    <row r="20" spans="2:15" ht="12" customHeight="1" x14ac:dyDescent="0.25">
      <c r="B20" s="14"/>
      <c r="C20" s="79"/>
      <c r="D20" s="91"/>
      <c r="E20" s="208"/>
      <c r="I20" s="17"/>
    </row>
    <row r="21" spans="2:15" ht="21.7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53684.05</v>
      </c>
      <c r="N23" s="314">
        <f>M23*1.01</f>
        <v>54220.890500000001</v>
      </c>
    </row>
    <row r="24" spans="2:15" ht="56.25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5476.9098171318583</v>
      </c>
      <c r="G24" s="24">
        <f>$N$23/$N$24*E24</f>
        <v>5531.6789153031759</v>
      </c>
      <c r="H24" s="25">
        <f>F24-G24</f>
        <v>-54.769098171317637</v>
      </c>
      <c r="I24" s="60"/>
      <c r="J24" s="27"/>
      <c r="K24" s="27"/>
      <c r="L24" s="28"/>
      <c r="M24" s="315">
        <f>E33-E31</f>
        <v>10.39</v>
      </c>
      <c r="N24" s="315">
        <f>E33-E31</f>
        <v>10.39</v>
      </c>
      <c r="O24" s="27"/>
    </row>
    <row r="25" spans="2:15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6148.6063041385951</v>
      </c>
      <c r="G25" s="6">
        <f>$N$23/$N$24*E25</f>
        <v>6210.0923671799801</v>
      </c>
      <c r="H25" s="25">
        <f t="shared" ref="H25:H30" si="0">F25-G25</f>
        <v>-61.486063041385023</v>
      </c>
      <c r="I25" s="61"/>
      <c r="J25" s="4"/>
      <c r="K25" s="4"/>
      <c r="L25" s="4"/>
      <c r="M25" s="316"/>
      <c r="N25" s="316"/>
      <c r="O25" s="4"/>
    </row>
    <row r="26" spans="2:15" ht="56.2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1653.4067372473532</v>
      </c>
      <c r="G26" s="6">
        <f t="shared" ref="G26:G29" si="2">$N$23/$N$24*E26</f>
        <v>1669.9408046198266</v>
      </c>
      <c r="H26" s="25">
        <f t="shared" si="0"/>
        <v>-16.534067372473373</v>
      </c>
      <c r="I26" s="44"/>
      <c r="L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</v>
      </c>
      <c r="F27" s="23">
        <f t="shared" si="1"/>
        <v>0</v>
      </c>
      <c r="G27" s="6">
        <f t="shared" si="2"/>
        <v>0</v>
      </c>
      <c r="H27" s="25">
        <f t="shared" si="0"/>
        <v>0</v>
      </c>
      <c r="I27" s="44"/>
      <c r="L27" s="17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6096.9373435996149</v>
      </c>
      <c r="G28" s="6">
        <f t="shared" si="2"/>
        <v>6157.9067170356102</v>
      </c>
      <c r="H28" s="25">
        <f t="shared" si="0"/>
        <v>-60.969373435995294</v>
      </c>
      <c r="I28" s="44"/>
    </row>
    <row r="29" spans="2:15" ht="231.7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28986.286862367666</v>
      </c>
      <c r="G29" s="6">
        <f t="shared" si="2"/>
        <v>29276.149730991339</v>
      </c>
      <c r="H29" s="25">
        <f t="shared" si="0"/>
        <v>-289.86286862367342</v>
      </c>
      <c r="I29" s="61"/>
      <c r="J29" s="4"/>
      <c r="K29" s="4"/>
      <c r="L29" s="3"/>
      <c r="M29" s="316"/>
      <c r="N29" s="316"/>
    </row>
    <row r="30" spans="2:15" ht="123" customHeight="1" x14ac:dyDescent="0.25">
      <c r="B30" s="29" t="s">
        <v>205</v>
      </c>
      <c r="C30" s="8" t="s">
        <v>223</v>
      </c>
      <c r="D30" s="22" t="s">
        <v>201</v>
      </c>
      <c r="E30" s="99">
        <v>0.24</v>
      </c>
      <c r="F30" s="23">
        <f t="shared" si="1"/>
        <v>1240.0550529355148</v>
      </c>
      <c r="G30" s="6">
        <f t="shared" ref="G30" si="3">$N$23/$N$24*E30</f>
        <v>1252.4556034648699</v>
      </c>
      <c r="H30" s="25">
        <f t="shared" si="0"/>
        <v>-12.400550529355087</v>
      </c>
      <c r="I30" s="44"/>
    </row>
    <row r="31" spans="2:15" ht="56.25" x14ac:dyDescent="0.25">
      <c r="B31" s="30" t="s">
        <v>206</v>
      </c>
      <c r="C31" s="8" t="s">
        <v>223</v>
      </c>
      <c r="D31" s="22" t="s">
        <v>201</v>
      </c>
      <c r="E31" s="99">
        <v>5.2</v>
      </c>
      <c r="F31" s="23">
        <v>27694.15</v>
      </c>
      <c r="G31" s="6">
        <v>94174</v>
      </c>
      <c r="H31" s="25">
        <f>F31-G31</f>
        <v>-66479.850000000006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1.67-0.88</f>
        <v>0.78999999999999992</v>
      </c>
      <c r="F32" s="23">
        <f t="shared" si="1"/>
        <v>4081.8478825794032</v>
      </c>
      <c r="G32" s="6">
        <f t="shared" ref="G32" si="4">$N$23/$N$24*E32</f>
        <v>4122.6663614051968</v>
      </c>
      <c r="H32" s="33">
        <f>F32-G32</f>
        <v>-40.818478825793591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15.59</v>
      </c>
      <c r="F33" s="56">
        <f>SUM(F24:F32)</f>
        <v>81378.200000000012</v>
      </c>
      <c r="G33" s="57">
        <f>SUM(G24:G32)</f>
        <v>148394.89050000001</v>
      </c>
      <c r="H33" s="38">
        <f>SUM(H24:H32)</f>
        <v>-67016.690499999997</v>
      </c>
      <c r="I33" s="62"/>
    </row>
    <row r="34" spans="2:15" x14ac:dyDescent="0.25">
      <c r="B34" s="17"/>
      <c r="C34" s="17"/>
      <c r="D34" s="17"/>
      <c r="E34" s="86"/>
      <c r="F34" s="82"/>
      <c r="G34" s="86"/>
      <c r="H34" s="82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4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546804.5</v>
      </c>
      <c r="D37" s="223"/>
      <c r="E37" s="224">
        <f>F24+F25+F26+F27+F28+F29+F30+F32+E16</f>
        <v>375477.24</v>
      </c>
      <c r="F37" s="225"/>
      <c r="G37" s="224">
        <f>F31+G16</f>
        <v>171327.26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499478.43000000005</v>
      </c>
      <c r="D38" s="221"/>
      <c r="E38" s="220">
        <f>E17+45816.32</f>
        <v>342221.06</v>
      </c>
      <c r="F38" s="221"/>
      <c r="G38" s="220">
        <f>G17+23635.41</f>
        <v>157257.37000000002</v>
      </c>
      <c r="H38" s="251"/>
      <c r="I38" s="76"/>
      <c r="J38" s="77"/>
      <c r="K38" s="12"/>
      <c r="L38" s="9"/>
      <c r="M38" s="318"/>
    </row>
    <row r="39" spans="2:15" ht="16.5" thickBot="1" x14ac:dyDescent="0.3">
      <c r="B39" s="95" t="s">
        <v>189</v>
      </c>
      <c r="C39" s="227">
        <f>E39+G39</f>
        <v>562287.77169999992</v>
      </c>
      <c r="D39" s="228"/>
      <c r="E39" s="246">
        <f>G24+G25+G26+G27+G28+G29+G30+G32+E18</f>
        <v>379380.77169999992</v>
      </c>
      <c r="F39" s="247"/>
      <c r="G39" s="246">
        <f>G31+G18</f>
        <v>182907</v>
      </c>
      <c r="H39" s="252"/>
      <c r="I39" s="76"/>
      <c r="J39" s="77"/>
      <c r="K39" s="44"/>
      <c r="L39" s="44"/>
    </row>
    <row r="40" spans="2:15" ht="25.5" thickBot="1" x14ac:dyDescent="0.3">
      <c r="B40" s="97" t="s">
        <v>298</v>
      </c>
      <c r="C40" s="216">
        <f>E40+G40</f>
        <v>-62809.341699999903</v>
      </c>
      <c r="D40" s="217"/>
      <c r="E40" s="248">
        <f>E38-E39</f>
        <v>-37159.711699999927</v>
      </c>
      <c r="F40" s="254"/>
      <c r="G40" s="248">
        <f>G38-G39</f>
        <v>-25649.629999999976</v>
      </c>
      <c r="H40" s="249"/>
      <c r="I40" s="76"/>
      <c r="J40" s="77"/>
      <c r="K40" s="44"/>
      <c r="L40" s="44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4"/>
      <c r="M41" s="316"/>
      <c r="N41" s="316"/>
      <c r="O41" s="4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4"/>
      <c r="M42" s="316"/>
      <c r="N42" s="316"/>
      <c r="O42" s="4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2" customHeight="1" x14ac:dyDescent="0.25">
      <c r="E48" s="209"/>
    </row>
  </sheetData>
  <mergeCells count="54">
    <mergeCell ref="F47:G47"/>
    <mergeCell ref="F45:G45"/>
    <mergeCell ref="F43:G43"/>
    <mergeCell ref="F44:G44"/>
    <mergeCell ref="E38:F38"/>
    <mergeCell ref="F41:G41"/>
    <mergeCell ref="F42:G42"/>
    <mergeCell ref="G40:H40"/>
    <mergeCell ref="C41:E41"/>
    <mergeCell ref="C43:E43"/>
    <mergeCell ref="C45:E45"/>
    <mergeCell ref="C47:E47"/>
    <mergeCell ref="C39:D39"/>
    <mergeCell ref="C40:D40"/>
    <mergeCell ref="E39:F39"/>
    <mergeCell ref="G39:H39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8:F18"/>
    <mergeCell ref="G18:H18"/>
    <mergeCell ref="E19:F19"/>
    <mergeCell ref="G19:H19"/>
    <mergeCell ref="E16:F16"/>
    <mergeCell ref="G16:H16"/>
    <mergeCell ref="E17:F17"/>
    <mergeCell ref="G17:H17"/>
    <mergeCell ref="C15:D15"/>
    <mergeCell ref="C16:D16"/>
    <mergeCell ref="C17:D17"/>
    <mergeCell ref="C18:D18"/>
    <mergeCell ref="C19:D19"/>
    <mergeCell ref="E40:F40"/>
    <mergeCell ref="M21:M22"/>
    <mergeCell ref="N21:N22"/>
    <mergeCell ref="C36:D36"/>
    <mergeCell ref="C37:D37"/>
    <mergeCell ref="C38:D38"/>
    <mergeCell ref="B35:H35"/>
    <mergeCell ref="E36:F36"/>
    <mergeCell ref="G36:H36"/>
    <mergeCell ref="E37:F37"/>
    <mergeCell ref="G37:H37"/>
    <mergeCell ref="G38:H38"/>
  </mergeCells>
  <printOptions horizontalCentered="1"/>
  <pageMargins left="0.19685039370078741" right="0.19685039370078741" top="0.15748031496062992" bottom="0.23622047244094491" header="0.31496062992125984" footer="0.23622047244094491"/>
  <pageSetup paperSize="9" scale="5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2" zoomScale="110" zoomScaleNormal="110" workbookViewId="0">
      <selection activeCell="M21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140625" style="5" customWidth="1"/>
    <col min="3" max="3" width="21.42578125" style="82" customWidth="1"/>
    <col min="4" max="4" width="9.42578125" style="82" customWidth="1"/>
    <col min="5" max="5" width="10.28515625" style="82" customWidth="1"/>
    <col min="6" max="6" width="9.7109375" style="5" customWidth="1"/>
    <col min="7" max="7" width="10.42578125" style="5" customWidth="1"/>
    <col min="8" max="8" width="10.28515625" style="5" customWidth="1"/>
    <col min="9" max="9" width="10.7109375" style="5" bestFit="1" customWidth="1"/>
    <col min="10" max="10" width="9.140625" style="5"/>
    <col min="11" max="12" width="12" style="5" customWidth="1"/>
    <col min="13" max="13" width="13.140625" style="310" customWidth="1"/>
    <col min="14" max="14" width="13.425781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142</v>
      </c>
      <c r="E5" s="234"/>
    </row>
    <row r="6" spans="1:9" x14ac:dyDescent="0.25">
      <c r="B6" s="10" t="s">
        <v>1</v>
      </c>
      <c r="C6" s="48"/>
      <c r="D6" s="207">
        <v>1950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8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143</v>
      </c>
      <c r="E9" s="207"/>
    </row>
    <row r="10" spans="1:9" collapsed="1" x14ac:dyDescent="0.25">
      <c r="B10" s="10" t="s">
        <v>5</v>
      </c>
      <c r="C10" s="48"/>
      <c r="D10" s="207" t="s">
        <v>271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136</v>
      </c>
      <c r="E12" s="208"/>
      <c r="I12" s="17"/>
    </row>
    <row r="13" spans="1:9" ht="8.2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8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329022.13</v>
      </c>
      <c r="D16" s="223"/>
      <c r="E16" s="222">
        <v>269409.34999999998</v>
      </c>
      <c r="F16" s="223"/>
      <c r="G16" s="222">
        <v>59612.78</v>
      </c>
      <c r="H16" s="256"/>
      <c r="I16" s="17"/>
    </row>
    <row r="17" spans="2:15" x14ac:dyDescent="0.25">
      <c r="B17" s="94" t="s">
        <v>16</v>
      </c>
      <c r="C17" s="220">
        <v>330843.65000000002</v>
      </c>
      <c r="D17" s="221"/>
      <c r="E17" s="220">
        <v>271311.46000000002</v>
      </c>
      <c r="F17" s="221"/>
      <c r="G17" s="220">
        <v>59532.19</v>
      </c>
      <c r="H17" s="251"/>
      <c r="I17" s="17"/>
    </row>
    <row r="18" spans="2:15" ht="16.5" thickBot="1" x14ac:dyDescent="0.3">
      <c r="B18" s="95" t="s">
        <v>189</v>
      </c>
      <c r="C18" s="227">
        <v>396084.6678</v>
      </c>
      <c r="D18" s="228"/>
      <c r="E18" s="227">
        <v>271208.6678</v>
      </c>
      <c r="F18" s="228"/>
      <c r="G18" s="227">
        <v>124876</v>
      </c>
      <c r="H18" s="250"/>
      <c r="I18" s="17"/>
    </row>
    <row r="19" spans="2:15" ht="32.25" customHeight="1" thickBot="1" x14ac:dyDescent="0.3">
      <c r="B19" s="97" t="s">
        <v>297</v>
      </c>
      <c r="C19" s="216">
        <f>E19+G19</f>
        <v>-65241.017799999972</v>
      </c>
      <c r="D19" s="217"/>
      <c r="E19" s="248">
        <f>E17-E18</f>
        <v>102.79220000002533</v>
      </c>
      <c r="F19" s="254"/>
      <c r="G19" s="248">
        <f>G17-G18</f>
        <v>-65343.81</v>
      </c>
      <c r="H19" s="249"/>
      <c r="I19" s="17"/>
    </row>
    <row r="20" spans="2:15" x14ac:dyDescent="0.25">
      <c r="B20" s="14"/>
      <c r="C20" s="79"/>
      <c r="D20" s="91"/>
      <c r="E20" s="208"/>
      <c r="I20" s="17"/>
    </row>
    <row r="21" spans="2:15" ht="18.7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55484.95</v>
      </c>
      <c r="N23" s="314">
        <f>M23*1.01</f>
        <v>56039.799500000001</v>
      </c>
    </row>
    <row r="24" spans="2:15" ht="56.25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5548.4950000000008</v>
      </c>
      <c r="G24" s="24">
        <f>$N$23/$N$24*E24</f>
        <v>5603.9799500000017</v>
      </c>
      <c r="H24" s="25">
        <f>F24-G24</f>
        <v>-55.484950000000936</v>
      </c>
      <c r="I24" s="60"/>
      <c r="J24" s="27"/>
      <c r="K24" s="27"/>
      <c r="L24" s="28"/>
      <c r="M24" s="315">
        <f>E33-E31</f>
        <v>10.599999999999998</v>
      </c>
      <c r="N24" s="315">
        <f>E33-E31</f>
        <v>10.599999999999998</v>
      </c>
      <c r="O24" s="27"/>
    </row>
    <row r="25" spans="2:15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6228.9708018867932</v>
      </c>
      <c r="G25" s="6">
        <f>$N$23/$N$24*E25</f>
        <v>6291.2605099056618</v>
      </c>
      <c r="H25" s="25">
        <f t="shared" ref="H25:H30" si="0">F25-G25</f>
        <v>-62.289708018868623</v>
      </c>
      <c r="I25" s="61"/>
      <c r="J25" s="4"/>
      <c r="K25" s="4"/>
      <c r="L25" s="4"/>
      <c r="M25" s="316"/>
      <c r="N25" s="316"/>
      <c r="O25" s="4"/>
    </row>
    <row r="26" spans="2:15" ht="56.2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1675.0173584905663</v>
      </c>
      <c r="G26" s="6">
        <f t="shared" ref="G26:G29" si="2">$N$23/$N$24*E26</f>
        <v>1691.7675320754722</v>
      </c>
      <c r="H26" s="25">
        <f t="shared" si="0"/>
        <v>-16.750173584905951</v>
      </c>
      <c r="I26" s="44"/>
      <c r="L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</v>
      </c>
      <c r="F27" s="23">
        <f t="shared" si="1"/>
        <v>0</v>
      </c>
      <c r="G27" s="6">
        <f t="shared" si="2"/>
        <v>0</v>
      </c>
      <c r="H27" s="25">
        <f t="shared" si="0"/>
        <v>0</v>
      </c>
      <c r="I27" s="44"/>
      <c r="L27" s="17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6176.6265094339624</v>
      </c>
      <c r="G28" s="6">
        <f t="shared" si="2"/>
        <v>6238.3927745283027</v>
      </c>
      <c r="H28" s="25">
        <f t="shared" si="0"/>
        <v>-61.76626509434027</v>
      </c>
      <c r="I28" s="44"/>
    </row>
    <row r="29" spans="2:15" ht="233.2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29365.148066037742</v>
      </c>
      <c r="G29" s="6">
        <f t="shared" si="2"/>
        <v>29658.799546698123</v>
      </c>
      <c r="H29" s="25">
        <f t="shared" si="0"/>
        <v>-293.65148066038091</v>
      </c>
      <c r="I29" s="61"/>
      <c r="J29" s="4"/>
      <c r="K29" s="4"/>
      <c r="L29" s="3"/>
      <c r="M29" s="316"/>
      <c r="N29" s="316"/>
    </row>
    <row r="30" spans="2:15" ht="123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994.54155660377376</v>
      </c>
      <c r="G30" s="6">
        <f t="shared" ref="G30" si="3">$N$23/$N$24*E30</f>
        <v>1004.4869721698116</v>
      </c>
      <c r="H30" s="25">
        <f t="shared" si="0"/>
        <v>-9.9454155660378092</v>
      </c>
      <c r="I30" s="44"/>
    </row>
    <row r="31" spans="2:15" ht="56.25" x14ac:dyDescent="0.25">
      <c r="B31" s="30" t="s">
        <v>206</v>
      </c>
      <c r="C31" s="8" t="s">
        <v>223</v>
      </c>
      <c r="D31" s="22" t="s">
        <v>201</v>
      </c>
      <c r="E31" s="99">
        <v>3.21</v>
      </c>
      <c r="F31" s="23">
        <v>17241.689999999999</v>
      </c>
      <c r="G31" s="6">
        <v>8556</v>
      </c>
      <c r="H31" s="25">
        <f>F31-G31</f>
        <v>8685.6899999999987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0.78+0.27</f>
        <v>1.05</v>
      </c>
      <c r="F32" s="23">
        <f t="shared" si="1"/>
        <v>5496.1507075471709</v>
      </c>
      <c r="G32" s="6">
        <f t="shared" ref="G32" si="4">$N$23/$N$24*E32</f>
        <v>5551.1122146226435</v>
      </c>
      <c r="H32" s="33">
        <f>F32-G32</f>
        <v>-54.961507075472582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13.809999999999999</v>
      </c>
      <c r="F33" s="56">
        <f>SUM(F24:F32)</f>
        <v>72726.640000000014</v>
      </c>
      <c r="G33" s="57">
        <f>SUM(G24:G32)</f>
        <v>64595.799500000016</v>
      </c>
      <c r="H33" s="38">
        <f>SUM(H24:H32)</f>
        <v>8130.8404999999921</v>
      </c>
      <c r="I33" s="62"/>
    </row>
    <row r="34" spans="2:15" x14ac:dyDescent="0.25">
      <c r="B34" s="17"/>
      <c r="C34" s="17"/>
      <c r="D34" s="17"/>
      <c r="E34" s="86"/>
      <c r="F34" s="82"/>
      <c r="G34" s="86"/>
      <c r="H34" s="82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42.7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401748.77</v>
      </c>
      <c r="D37" s="223"/>
      <c r="E37" s="224">
        <f>F24+F25+F26+F27+F28+F29+F30+F32+E16</f>
        <v>324894.3</v>
      </c>
      <c r="F37" s="225"/>
      <c r="G37" s="224">
        <f>F31+G16</f>
        <v>76854.47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403761.83000000007</v>
      </c>
      <c r="D38" s="221"/>
      <c r="E38" s="220">
        <f>E17+55631.08</f>
        <v>326942.54000000004</v>
      </c>
      <c r="F38" s="221"/>
      <c r="G38" s="220">
        <f>G17+17287.1</f>
        <v>76819.290000000008</v>
      </c>
      <c r="H38" s="251"/>
      <c r="I38" s="76"/>
      <c r="J38" s="77"/>
      <c r="K38" s="12"/>
      <c r="L38" s="9"/>
      <c r="M38" s="318"/>
    </row>
    <row r="39" spans="2:15" ht="16.5" thickBot="1" x14ac:dyDescent="0.3">
      <c r="B39" s="95" t="s">
        <v>189</v>
      </c>
      <c r="C39" s="227">
        <f>E39+G39</f>
        <v>460680.46730000002</v>
      </c>
      <c r="D39" s="228"/>
      <c r="E39" s="246">
        <f>G24+G25+G26+G27+G28+G29+G30+G32+E18</f>
        <v>327248.46730000002</v>
      </c>
      <c r="F39" s="247"/>
      <c r="G39" s="246">
        <f>G31+G18</f>
        <v>133432</v>
      </c>
      <c r="H39" s="252"/>
      <c r="I39" s="76"/>
      <c r="J39" s="77"/>
      <c r="K39" s="44"/>
      <c r="L39" s="44"/>
    </row>
    <row r="40" spans="2:15" ht="36.75" thickBot="1" x14ac:dyDescent="0.3">
      <c r="B40" s="97" t="s">
        <v>298</v>
      </c>
      <c r="C40" s="216">
        <f>E40+G40</f>
        <v>-56918.637299999973</v>
      </c>
      <c r="D40" s="217"/>
      <c r="E40" s="248">
        <f>E38-E39</f>
        <v>-305.92729999998119</v>
      </c>
      <c r="F40" s="254"/>
      <c r="G40" s="248">
        <f>G38-G39</f>
        <v>-56612.709999999992</v>
      </c>
      <c r="H40" s="249"/>
      <c r="I40" s="76"/>
      <c r="J40" s="77"/>
      <c r="K40" s="44"/>
      <c r="L40" s="44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4"/>
      <c r="M41" s="316"/>
      <c r="N41" s="316"/>
      <c r="O41" s="4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4"/>
      <c r="M42" s="316"/>
      <c r="N42" s="316"/>
      <c r="O42" s="4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9.75" customHeight="1" x14ac:dyDescent="0.25">
      <c r="E48" s="209"/>
    </row>
  </sheetData>
  <mergeCells count="54">
    <mergeCell ref="F47:G47"/>
    <mergeCell ref="F45:G45"/>
    <mergeCell ref="E19:F19"/>
    <mergeCell ref="G19:H19"/>
    <mergeCell ref="F41:G41"/>
    <mergeCell ref="F43:G43"/>
    <mergeCell ref="F44:G44"/>
    <mergeCell ref="F42:G42"/>
    <mergeCell ref="G36:H36"/>
    <mergeCell ref="E37:F37"/>
    <mergeCell ref="E36:F36"/>
    <mergeCell ref="C41:E41"/>
    <mergeCell ref="C43:E43"/>
    <mergeCell ref="C45:E45"/>
    <mergeCell ref="C47:E47"/>
    <mergeCell ref="C19:D19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B14:H14"/>
    <mergeCell ref="E15:F15"/>
    <mergeCell ref="G15:H15"/>
    <mergeCell ref="E16:F16"/>
    <mergeCell ref="D5:E5"/>
    <mergeCell ref="G16:H16"/>
    <mergeCell ref="E17:F17"/>
    <mergeCell ref="G17:H17"/>
    <mergeCell ref="E18:F18"/>
    <mergeCell ref="G18:H18"/>
    <mergeCell ref="C15:D15"/>
    <mergeCell ref="C16:D16"/>
    <mergeCell ref="C17:D17"/>
    <mergeCell ref="C18:D18"/>
    <mergeCell ref="C39:D39"/>
    <mergeCell ref="C40:D40"/>
    <mergeCell ref="M21:M22"/>
    <mergeCell ref="N21:N22"/>
    <mergeCell ref="C36:D36"/>
    <mergeCell ref="C37:D37"/>
    <mergeCell ref="C38:D38"/>
    <mergeCell ref="E39:F39"/>
    <mergeCell ref="G39:H39"/>
    <mergeCell ref="E40:F40"/>
    <mergeCell ref="G40:H40"/>
    <mergeCell ref="B35:H35"/>
    <mergeCell ref="G37:H37"/>
    <mergeCell ref="E38:F38"/>
    <mergeCell ref="G38:H38"/>
  </mergeCells>
  <printOptions horizontalCentered="1"/>
  <pageMargins left="0.19685039370078741" right="0.23622047244094491" top="0.15748031496062992" bottom="0.31496062992125984" header="0.31496062992125984" footer="0.31496062992125984"/>
  <pageSetup paperSize="9" scale="4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6" zoomScale="110" zoomScaleNormal="110" workbookViewId="0">
      <selection activeCell="M6" sqref="M1:N1048576"/>
    </sheetView>
  </sheetViews>
  <sheetFormatPr defaultColWidth="9.140625" defaultRowHeight="15.75" outlineLevelRow="1" x14ac:dyDescent="0.25"/>
  <cols>
    <col min="1" max="1" width="2.85546875" style="142" customWidth="1"/>
    <col min="2" max="2" width="56.7109375" style="142" customWidth="1"/>
    <col min="3" max="3" width="21.42578125" style="149" customWidth="1"/>
    <col min="4" max="4" width="8.42578125" style="149" customWidth="1"/>
    <col min="5" max="5" width="10.28515625" style="149" customWidth="1"/>
    <col min="6" max="6" width="10.7109375" style="142" customWidth="1"/>
    <col min="7" max="7" width="10.28515625" style="142" customWidth="1"/>
    <col min="8" max="8" width="10.42578125" style="142" customWidth="1"/>
    <col min="9" max="9" width="10.7109375" style="142" bestFit="1" customWidth="1"/>
    <col min="10" max="12" width="9.140625" style="142"/>
    <col min="13" max="13" width="13.85546875" style="310" customWidth="1"/>
    <col min="14" max="14" width="13.7109375" style="310" customWidth="1"/>
    <col min="15" max="16384" width="9.140625" style="142"/>
  </cols>
  <sheetData>
    <row r="1" spans="1:9" x14ac:dyDescent="0.25">
      <c r="B1" s="285" t="s">
        <v>211</v>
      </c>
      <c r="C1" s="285"/>
      <c r="D1" s="285"/>
      <c r="E1" s="285"/>
      <c r="F1" s="285"/>
      <c r="G1" s="285"/>
      <c r="H1" s="285"/>
    </row>
    <row r="2" spans="1:9" ht="15.75" customHeight="1" x14ac:dyDescent="0.25">
      <c r="A2" s="143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143"/>
      <c r="B3" s="265"/>
      <c r="C3" s="265"/>
      <c r="D3" s="265"/>
      <c r="E3" s="265"/>
      <c r="F3" s="265"/>
      <c r="G3" s="265"/>
      <c r="H3" s="265"/>
    </row>
    <row r="4" spans="1:9" ht="13.5" customHeight="1" x14ac:dyDescent="0.25">
      <c r="A4" s="143"/>
      <c r="B4" s="143"/>
      <c r="C4" s="143"/>
      <c r="D4" s="143"/>
      <c r="E4" s="143"/>
      <c r="F4" s="143"/>
      <c r="G4" s="143"/>
    </row>
    <row r="5" spans="1:9" x14ac:dyDescent="0.25">
      <c r="B5" s="144" t="s">
        <v>0</v>
      </c>
      <c r="C5" s="145"/>
      <c r="D5" s="296" t="s">
        <v>144</v>
      </c>
      <c r="E5" s="296"/>
    </row>
    <row r="6" spans="1:9" x14ac:dyDescent="0.25">
      <c r="B6" s="144" t="s">
        <v>1</v>
      </c>
      <c r="C6" s="145"/>
      <c r="D6" s="214">
        <v>1957</v>
      </c>
      <c r="E6" s="214"/>
    </row>
    <row r="7" spans="1:9" hidden="1" outlineLevel="1" x14ac:dyDescent="0.25">
      <c r="B7" s="144" t="s">
        <v>2</v>
      </c>
      <c r="C7" s="145"/>
      <c r="D7" s="214">
        <v>2</v>
      </c>
      <c r="E7" s="214"/>
    </row>
    <row r="8" spans="1:9" hidden="1" outlineLevel="1" x14ac:dyDescent="0.25">
      <c r="B8" s="144" t="s">
        <v>3</v>
      </c>
      <c r="C8" s="145"/>
      <c r="D8" s="214">
        <v>8</v>
      </c>
      <c r="E8" s="214"/>
    </row>
    <row r="9" spans="1:9" ht="30.75" hidden="1" customHeight="1" outlineLevel="1" x14ac:dyDescent="0.25">
      <c r="B9" s="146" t="s">
        <v>4</v>
      </c>
      <c r="C9" s="147"/>
      <c r="D9" s="214" t="s">
        <v>88</v>
      </c>
      <c r="E9" s="214"/>
    </row>
    <row r="10" spans="1:9" collapsed="1" x14ac:dyDescent="0.25">
      <c r="B10" s="144" t="s">
        <v>5</v>
      </c>
      <c r="C10" s="145"/>
      <c r="D10" s="214" t="s">
        <v>272</v>
      </c>
      <c r="E10" s="214"/>
      <c r="I10" s="148"/>
    </row>
    <row r="11" spans="1:9" hidden="1" outlineLevel="1" x14ac:dyDescent="0.25">
      <c r="B11" s="142" t="s">
        <v>6</v>
      </c>
      <c r="D11" s="150" t="s">
        <v>13</v>
      </c>
      <c r="E11" s="150"/>
    </row>
    <row r="12" spans="1:9" ht="30.75" hidden="1" customHeight="1" outlineLevel="1" x14ac:dyDescent="0.25">
      <c r="B12" s="151" t="s">
        <v>7</v>
      </c>
      <c r="C12" s="152"/>
      <c r="D12" s="153" t="s">
        <v>89</v>
      </c>
      <c r="E12" s="150"/>
      <c r="I12" s="148"/>
    </row>
    <row r="13" spans="1:9" ht="11.25" customHeight="1" collapsed="1" x14ac:dyDescent="0.25">
      <c r="B13" s="151"/>
      <c r="C13" s="152"/>
      <c r="D13" s="153"/>
      <c r="E13" s="150"/>
      <c r="I13" s="148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48"/>
    </row>
    <row r="15" spans="1:9" ht="42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48"/>
    </row>
    <row r="16" spans="1:9" x14ac:dyDescent="0.25">
      <c r="B16" s="154" t="s">
        <v>15</v>
      </c>
      <c r="C16" s="272">
        <v>371199.30000000005</v>
      </c>
      <c r="D16" s="280"/>
      <c r="E16" s="276">
        <v>271316.02</v>
      </c>
      <c r="F16" s="279"/>
      <c r="G16" s="276">
        <v>99883.28</v>
      </c>
      <c r="H16" s="277"/>
      <c r="I16" s="148"/>
    </row>
    <row r="17" spans="2:15" x14ac:dyDescent="0.25">
      <c r="B17" s="155" t="s">
        <v>16</v>
      </c>
      <c r="C17" s="274">
        <v>383517.08</v>
      </c>
      <c r="D17" s="275"/>
      <c r="E17" s="274">
        <v>279565.83</v>
      </c>
      <c r="F17" s="275"/>
      <c r="G17" s="274">
        <v>103951.25</v>
      </c>
      <c r="H17" s="278"/>
      <c r="I17" s="148"/>
    </row>
    <row r="18" spans="2:15" ht="16.5" thickBot="1" x14ac:dyDescent="0.3">
      <c r="B18" s="156" t="s">
        <v>189</v>
      </c>
      <c r="C18" s="274">
        <v>373572.31</v>
      </c>
      <c r="D18" s="275"/>
      <c r="E18" s="297">
        <v>275339.31</v>
      </c>
      <c r="F18" s="298"/>
      <c r="G18" s="297">
        <v>98233</v>
      </c>
      <c r="H18" s="299"/>
      <c r="I18" s="148"/>
    </row>
    <row r="19" spans="2:15" ht="30.75" customHeight="1" thickBot="1" x14ac:dyDescent="0.3">
      <c r="B19" s="157" t="s">
        <v>316</v>
      </c>
      <c r="C19" s="281">
        <f>E19+G19</f>
        <v>9944.7700000000186</v>
      </c>
      <c r="D19" s="282"/>
      <c r="E19" s="283">
        <f>E17-E18</f>
        <v>4226.5200000000186</v>
      </c>
      <c r="F19" s="300"/>
      <c r="G19" s="283">
        <f>G17-G18</f>
        <v>5718.25</v>
      </c>
      <c r="H19" s="284"/>
      <c r="I19" s="148"/>
    </row>
    <row r="20" spans="2:15" x14ac:dyDescent="0.25">
      <c r="B20" s="151"/>
      <c r="C20" s="152"/>
      <c r="D20" s="153"/>
      <c r="E20" s="150"/>
      <c r="I20" s="148"/>
    </row>
    <row r="21" spans="2:15" ht="20.2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48"/>
      <c r="M21" s="312" t="s">
        <v>301</v>
      </c>
      <c r="N21" s="312" t="s">
        <v>302</v>
      </c>
    </row>
    <row r="22" spans="2:15" ht="32.25" customHeight="1" x14ac:dyDescent="0.25">
      <c r="B22" s="286" t="s">
        <v>196</v>
      </c>
      <c r="C22" s="288" t="s">
        <v>197</v>
      </c>
      <c r="D22" s="288" t="s">
        <v>210</v>
      </c>
      <c r="E22" s="290" t="s">
        <v>325</v>
      </c>
      <c r="F22" s="292" t="s">
        <v>199</v>
      </c>
      <c r="G22" s="293"/>
      <c r="H22" s="294" t="s">
        <v>227</v>
      </c>
      <c r="L22" s="148"/>
      <c r="M22" s="313"/>
      <c r="N22" s="313"/>
    </row>
    <row r="23" spans="2:15" ht="53.25" customHeight="1" thickBot="1" x14ac:dyDescent="0.3">
      <c r="B23" s="287"/>
      <c r="C23" s="289"/>
      <c r="D23" s="289"/>
      <c r="E23" s="291"/>
      <c r="F23" s="158" t="s">
        <v>187</v>
      </c>
      <c r="G23" s="159" t="s">
        <v>188</v>
      </c>
      <c r="H23" s="295"/>
      <c r="M23" s="314">
        <v>55569.62</v>
      </c>
      <c r="N23" s="314">
        <f>M23*1.01</f>
        <v>56125.316200000001</v>
      </c>
    </row>
    <row r="24" spans="2:15" ht="56.25" x14ac:dyDescent="0.25">
      <c r="B24" s="160" t="s">
        <v>317</v>
      </c>
      <c r="C24" s="8" t="s">
        <v>223</v>
      </c>
      <c r="D24" s="161" t="s">
        <v>201</v>
      </c>
      <c r="E24" s="162">
        <v>1.06</v>
      </c>
      <c r="F24" s="163">
        <f>$M$23/$M$24*E24</f>
        <v>5484.5248789571706</v>
      </c>
      <c r="G24" s="164">
        <f>$N$23/$N$24*E24</f>
        <v>5539.3701277467417</v>
      </c>
      <c r="H24" s="165">
        <f>F24-G24</f>
        <v>-54.845248789571087</v>
      </c>
      <c r="I24" s="166"/>
      <c r="J24" s="167"/>
      <c r="K24" s="167"/>
      <c r="L24" s="168"/>
      <c r="M24" s="315">
        <f>E33-E31</f>
        <v>10.74</v>
      </c>
      <c r="N24" s="315">
        <f>E33-E31</f>
        <v>10.74</v>
      </c>
      <c r="O24" s="167"/>
    </row>
    <row r="25" spans="2:15" ht="56.25" x14ac:dyDescent="0.25">
      <c r="B25" s="169" t="s">
        <v>318</v>
      </c>
      <c r="C25" s="8" t="s">
        <v>223</v>
      </c>
      <c r="D25" s="161" t="s">
        <v>201</v>
      </c>
      <c r="E25" s="170">
        <v>1.19</v>
      </c>
      <c r="F25" s="163">
        <f>$M$23/$M$24*E25</f>
        <v>6157.1552886405962</v>
      </c>
      <c r="G25" s="171">
        <f>$N$23/$N$24*E25</f>
        <v>6218.7268415270019</v>
      </c>
      <c r="H25" s="165">
        <f t="shared" ref="H25:H30" si="0">F25-G25</f>
        <v>-61.571552886405698</v>
      </c>
      <c r="I25" s="172"/>
      <c r="J25" s="173"/>
      <c r="K25" s="173"/>
      <c r="L25" s="173"/>
      <c r="M25" s="316"/>
      <c r="N25" s="316"/>
      <c r="O25" s="173"/>
    </row>
    <row r="26" spans="2:15" ht="56.25" x14ac:dyDescent="0.25">
      <c r="B26" s="174" t="s">
        <v>184</v>
      </c>
      <c r="C26" s="8" t="s">
        <v>223</v>
      </c>
      <c r="D26" s="161" t="s">
        <v>201</v>
      </c>
      <c r="E26" s="170">
        <v>0.32</v>
      </c>
      <c r="F26" s="163">
        <f>$M$23/$M$24*E26</f>
        <v>1655.7056238361267</v>
      </c>
      <c r="G26" s="171">
        <f>$N$23/$N$24*E26</f>
        <v>1672.2626800744879</v>
      </c>
      <c r="H26" s="165">
        <f t="shared" si="0"/>
        <v>-16.557056238361156</v>
      </c>
      <c r="I26" s="175"/>
      <c r="L26" s="148"/>
    </row>
    <row r="27" spans="2:15" ht="25.5" x14ac:dyDescent="0.25">
      <c r="B27" s="174" t="s">
        <v>185</v>
      </c>
      <c r="C27" s="176" t="s">
        <v>203</v>
      </c>
      <c r="D27" s="161" t="s">
        <v>201</v>
      </c>
      <c r="E27" s="170">
        <v>0</v>
      </c>
      <c r="F27" s="163">
        <f t="shared" ref="F27:F32" si="1">$M$23/$M$24*E27</f>
        <v>0</v>
      </c>
      <c r="G27" s="171">
        <f t="shared" ref="G27:G29" si="2">$N$23/$N$24*E27</f>
        <v>0</v>
      </c>
      <c r="H27" s="165">
        <f t="shared" si="0"/>
        <v>0</v>
      </c>
      <c r="I27" s="175"/>
      <c r="L27" s="148"/>
    </row>
    <row r="28" spans="2:15" ht="51" x14ac:dyDescent="0.25">
      <c r="B28" s="169" t="s">
        <v>319</v>
      </c>
      <c r="C28" s="177" t="s">
        <v>229</v>
      </c>
      <c r="D28" s="161" t="s">
        <v>201</v>
      </c>
      <c r="E28" s="170">
        <v>1.18</v>
      </c>
      <c r="F28" s="163">
        <f t="shared" si="1"/>
        <v>6105.4144878957168</v>
      </c>
      <c r="G28" s="171">
        <f t="shared" si="2"/>
        <v>6166.468632774674</v>
      </c>
      <c r="H28" s="165">
        <f t="shared" si="0"/>
        <v>-61.054144878957231</v>
      </c>
      <c r="I28" s="175"/>
    </row>
    <row r="29" spans="2:15" ht="234" customHeight="1" x14ac:dyDescent="0.25">
      <c r="B29" s="169" t="s">
        <v>320</v>
      </c>
      <c r="C29" s="177" t="s">
        <v>204</v>
      </c>
      <c r="D29" s="161" t="s">
        <v>201</v>
      </c>
      <c r="E29" s="170">
        <v>5.61</v>
      </c>
      <c r="F29" s="163">
        <f t="shared" si="1"/>
        <v>29026.589217877099</v>
      </c>
      <c r="G29" s="171">
        <f t="shared" si="2"/>
        <v>29316.855110055869</v>
      </c>
      <c r="H29" s="165">
        <f t="shared" si="0"/>
        <v>-290.26589217876972</v>
      </c>
      <c r="I29" s="172"/>
      <c r="J29" s="173"/>
      <c r="K29" s="173"/>
      <c r="L29" s="178"/>
      <c r="M29" s="316"/>
      <c r="N29" s="316"/>
    </row>
    <row r="30" spans="2:15" ht="123" customHeight="1" x14ac:dyDescent="0.25">
      <c r="B30" s="169" t="s">
        <v>321</v>
      </c>
      <c r="C30" s="8" t="s">
        <v>223</v>
      </c>
      <c r="D30" s="161" t="s">
        <v>201</v>
      </c>
      <c r="E30" s="170">
        <v>0.24</v>
      </c>
      <c r="F30" s="163">
        <f t="shared" si="1"/>
        <v>1241.7792178770951</v>
      </c>
      <c r="G30" s="171">
        <f t="shared" ref="G30" si="3">$N$23/$N$24*E30</f>
        <v>1254.1970100558658</v>
      </c>
      <c r="H30" s="165">
        <f t="shared" si="0"/>
        <v>-12.417792178770696</v>
      </c>
      <c r="I30" s="175"/>
    </row>
    <row r="31" spans="2:15" ht="56.25" x14ac:dyDescent="0.25">
      <c r="B31" s="174" t="s">
        <v>206</v>
      </c>
      <c r="C31" s="8" t="s">
        <v>223</v>
      </c>
      <c r="D31" s="161" t="s">
        <v>201</v>
      </c>
      <c r="E31" s="170">
        <v>4.41</v>
      </c>
      <c r="F31" s="163">
        <v>23473.38</v>
      </c>
      <c r="G31" s="171">
        <v>2873</v>
      </c>
      <c r="H31" s="165">
        <f>F31-G31</f>
        <v>20600.38</v>
      </c>
      <c r="I31" s="175"/>
      <c r="L31" s="148"/>
    </row>
    <row r="32" spans="2:15" ht="16.5" thickBot="1" x14ac:dyDescent="0.3">
      <c r="B32" s="179" t="s">
        <v>186</v>
      </c>
      <c r="C32" s="180" t="s">
        <v>204</v>
      </c>
      <c r="D32" s="181" t="s">
        <v>201</v>
      </c>
      <c r="E32" s="182">
        <f>0.84+0.3</f>
        <v>1.1399999999999999</v>
      </c>
      <c r="F32" s="163">
        <f t="shared" si="1"/>
        <v>5898.4512849162011</v>
      </c>
      <c r="G32" s="171">
        <f t="shared" ref="G32" si="4">$N$23/$N$24*E32</f>
        <v>5957.4357977653626</v>
      </c>
      <c r="H32" s="183">
        <f>F32-G32</f>
        <v>-58.984512849161547</v>
      </c>
      <c r="I32" s="175"/>
    </row>
    <row r="33" spans="2:15" ht="16.5" thickBot="1" x14ac:dyDescent="0.3">
      <c r="B33" s="184" t="s">
        <v>190</v>
      </c>
      <c r="C33" s="185"/>
      <c r="D33" s="185"/>
      <c r="E33" s="186">
        <f>SUM(E24:E32)</f>
        <v>15.15</v>
      </c>
      <c r="F33" s="187">
        <f>SUM(F24:F32)</f>
        <v>79043</v>
      </c>
      <c r="G33" s="188">
        <f>SUM(G24:G32)</f>
        <v>58998.316200000008</v>
      </c>
      <c r="H33" s="189">
        <f>SUM(H24:H32)</f>
        <v>20044.683800000003</v>
      </c>
      <c r="I33" s="215"/>
    </row>
    <row r="34" spans="2:15" x14ac:dyDescent="0.25">
      <c r="B34" s="148"/>
      <c r="C34" s="148"/>
      <c r="D34" s="148"/>
      <c r="E34" s="190"/>
      <c r="F34" s="149"/>
      <c r="G34" s="190"/>
      <c r="H34" s="149"/>
      <c r="O34" s="149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191"/>
      <c r="J35" s="191"/>
    </row>
    <row r="36" spans="2:15" ht="42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192"/>
      <c r="J36" s="193"/>
      <c r="K36" s="194"/>
      <c r="L36" s="195"/>
      <c r="M36" s="317"/>
      <c r="N36" s="317"/>
    </row>
    <row r="37" spans="2:15" x14ac:dyDescent="0.25">
      <c r="B37" s="154" t="s">
        <v>15</v>
      </c>
      <c r="C37" s="272">
        <f>E37+G37</f>
        <v>450242.30000000005</v>
      </c>
      <c r="D37" s="273"/>
      <c r="E37" s="276">
        <f>F24+F25+F26+F27+F28+F29+F30+F32+E16</f>
        <v>326885.64</v>
      </c>
      <c r="F37" s="279"/>
      <c r="G37" s="276">
        <f>F31+G16</f>
        <v>123356.66</v>
      </c>
      <c r="H37" s="277"/>
      <c r="I37" s="196"/>
      <c r="J37" s="197"/>
      <c r="K37" s="198"/>
      <c r="L37" s="198"/>
      <c r="M37" s="318"/>
    </row>
    <row r="38" spans="2:15" x14ac:dyDescent="0.25">
      <c r="B38" s="155" t="s">
        <v>16</v>
      </c>
      <c r="C38" s="274">
        <f>E38+G38</f>
        <v>461962.18</v>
      </c>
      <c r="D38" s="275"/>
      <c r="E38" s="274">
        <f>E17+55149.28</f>
        <v>334715.11</v>
      </c>
      <c r="F38" s="275"/>
      <c r="G38" s="274">
        <f>G17+23295.82</f>
        <v>127247.07</v>
      </c>
      <c r="H38" s="278"/>
      <c r="I38" s="196"/>
      <c r="J38" s="197"/>
      <c r="K38" s="199"/>
      <c r="L38" s="198"/>
      <c r="M38" s="318"/>
    </row>
    <row r="39" spans="2:15" ht="16.5" thickBot="1" x14ac:dyDescent="0.3">
      <c r="B39" s="156" t="s">
        <v>189</v>
      </c>
      <c r="C39" s="301">
        <f>E39+G39</f>
        <v>432570.6262</v>
      </c>
      <c r="D39" s="302"/>
      <c r="E39" s="297">
        <f>G24+G25+G26+G27+G28+G29+G30+G32+E18</f>
        <v>331464.6262</v>
      </c>
      <c r="F39" s="298"/>
      <c r="G39" s="297">
        <f>G31+G18</f>
        <v>101106</v>
      </c>
      <c r="H39" s="299"/>
      <c r="I39" s="196"/>
      <c r="J39" s="197"/>
      <c r="K39" s="175"/>
      <c r="L39" s="175"/>
    </row>
    <row r="40" spans="2:15" ht="32.25" customHeight="1" thickBot="1" x14ac:dyDescent="0.3">
      <c r="B40" s="157" t="s">
        <v>322</v>
      </c>
      <c r="C40" s="281">
        <f>E40+G40</f>
        <v>29391.553799999994</v>
      </c>
      <c r="D40" s="282"/>
      <c r="E40" s="283">
        <f>E38-E39</f>
        <v>3250.4837999999872</v>
      </c>
      <c r="F40" s="300"/>
      <c r="G40" s="283">
        <f>G38-G39</f>
        <v>26141.070000000007</v>
      </c>
      <c r="H40" s="284"/>
      <c r="I40" s="196"/>
      <c r="J40" s="197"/>
      <c r="K40" s="175"/>
      <c r="L40" s="175"/>
    </row>
    <row r="41" spans="2:15" ht="27.75" customHeight="1" x14ac:dyDescent="0.25">
      <c r="B41" s="213" t="s">
        <v>180</v>
      </c>
      <c r="C41" s="305" t="s">
        <v>308</v>
      </c>
      <c r="D41" s="305"/>
      <c r="E41" s="305"/>
      <c r="F41" s="303" t="s">
        <v>10</v>
      </c>
      <c r="G41" s="303"/>
      <c r="H41" s="200"/>
      <c r="I41" s="200"/>
      <c r="J41" s="173"/>
      <c r="K41" s="173"/>
      <c r="L41" s="173"/>
      <c r="M41" s="316"/>
      <c r="N41" s="316"/>
      <c r="O41" s="173"/>
    </row>
    <row r="42" spans="2:15" ht="9.75" customHeight="1" x14ac:dyDescent="0.25">
      <c r="B42" s="213"/>
      <c r="C42" s="213"/>
      <c r="D42" s="213"/>
      <c r="E42" s="201"/>
      <c r="F42" s="304"/>
      <c r="G42" s="304"/>
      <c r="H42" s="200"/>
      <c r="I42" s="200"/>
      <c r="J42" s="173"/>
      <c r="K42" s="173"/>
      <c r="L42" s="173"/>
      <c r="M42" s="316"/>
      <c r="N42" s="316"/>
      <c r="O42" s="173"/>
    </row>
    <row r="43" spans="2:15" x14ac:dyDescent="0.25">
      <c r="B43" s="213" t="s">
        <v>181</v>
      </c>
      <c r="C43" s="305" t="s">
        <v>308</v>
      </c>
      <c r="D43" s="305"/>
      <c r="E43" s="305"/>
      <c r="F43" s="303" t="s">
        <v>208</v>
      </c>
      <c r="G43" s="303"/>
      <c r="H43" s="200"/>
      <c r="I43" s="200"/>
      <c r="J43" s="173"/>
      <c r="K43" s="173"/>
      <c r="L43" s="173"/>
      <c r="M43" s="316"/>
      <c r="N43" s="316"/>
      <c r="O43" s="173"/>
    </row>
    <row r="44" spans="2:15" ht="9.75" customHeight="1" x14ac:dyDescent="0.25">
      <c r="B44" s="213"/>
      <c r="C44" s="213"/>
      <c r="D44" s="213"/>
      <c r="E44" s="201"/>
      <c r="F44" s="303"/>
      <c r="G44" s="303"/>
      <c r="H44" s="200"/>
      <c r="I44" s="200"/>
    </row>
    <row r="45" spans="2:15" x14ac:dyDescent="0.25">
      <c r="B45" s="213" t="s">
        <v>182</v>
      </c>
      <c r="C45" s="305" t="s">
        <v>308</v>
      </c>
      <c r="D45" s="305"/>
      <c r="E45" s="305"/>
      <c r="F45" s="303" t="s">
        <v>209</v>
      </c>
      <c r="G45" s="303"/>
      <c r="H45" s="200"/>
      <c r="I45" s="200"/>
    </row>
    <row r="46" spans="2:15" ht="10.5" customHeight="1" x14ac:dyDescent="0.25">
      <c r="B46" s="202"/>
      <c r="C46" s="202"/>
      <c r="D46" s="202"/>
      <c r="E46" s="201"/>
      <c r="F46" s="203"/>
      <c r="G46" s="204"/>
      <c r="H46" s="145"/>
      <c r="I46" s="144"/>
    </row>
    <row r="47" spans="2:15" x14ac:dyDescent="0.25">
      <c r="B47" s="213" t="s">
        <v>183</v>
      </c>
      <c r="C47" s="305" t="s">
        <v>308</v>
      </c>
      <c r="D47" s="305"/>
      <c r="E47" s="305"/>
      <c r="F47" s="303" t="s">
        <v>209</v>
      </c>
      <c r="G47" s="303"/>
      <c r="H47" s="200"/>
      <c r="I47" s="200"/>
    </row>
    <row r="48" spans="2:15" ht="9.75" customHeight="1" x14ac:dyDescent="0.25">
      <c r="E48" s="201"/>
    </row>
  </sheetData>
  <mergeCells count="54">
    <mergeCell ref="C39:D39"/>
    <mergeCell ref="C40:D40"/>
    <mergeCell ref="F45:G45"/>
    <mergeCell ref="F44:G44"/>
    <mergeCell ref="F47:G47"/>
    <mergeCell ref="F42:G42"/>
    <mergeCell ref="F43:G43"/>
    <mergeCell ref="G39:H39"/>
    <mergeCell ref="E40:F40"/>
    <mergeCell ref="G40:H40"/>
    <mergeCell ref="F41:G41"/>
    <mergeCell ref="E39:F39"/>
    <mergeCell ref="C41:E41"/>
    <mergeCell ref="C43:E43"/>
    <mergeCell ref="C45:E45"/>
    <mergeCell ref="C47:E47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8:F18"/>
    <mergeCell ref="G18:H18"/>
    <mergeCell ref="E19:F19"/>
    <mergeCell ref="G19:H19"/>
    <mergeCell ref="E16:F16"/>
    <mergeCell ref="G16:H16"/>
    <mergeCell ref="E17:F17"/>
    <mergeCell ref="G17:H17"/>
    <mergeCell ref="C15:D15"/>
    <mergeCell ref="C16:D16"/>
    <mergeCell ref="C17:D17"/>
    <mergeCell ref="C18:D18"/>
    <mergeCell ref="C19:D19"/>
    <mergeCell ref="M21:M22"/>
    <mergeCell ref="N21:N22"/>
    <mergeCell ref="C36:D36"/>
    <mergeCell ref="C37:D37"/>
    <mergeCell ref="C38:D38"/>
    <mergeCell ref="B35:H35"/>
    <mergeCell ref="G37:H37"/>
    <mergeCell ref="E38:F38"/>
    <mergeCell ref="G38:H38"/>
    <mergeCell ref="E36:F36"/>
    <mergeCell ref="G36:H36"/>
    <mergeCell ref="E37:F37"/>
  </mergeCells>
  <printOptions horizontalCentered="1"/>
  <pageMargins left="0.19685039370078741" right="0.19685039370078741" top="0.15748031496062992" bottom="0.31496062992125984" header="0.31496062992125984" footer="0.31496062992125984"/>
  <pageSetup paperSize="9" scale="5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10" zoomScale="110" zoomScaleNormal="110" workbookViewId="0">
      <selection activeCell="M10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140625" style="5" customWidth="1"/>
    <col min="3" max="3" width="23.28515625" style="82" customWidth="1"/>
    <col min="4" max="4" width="9.85546875" style="82" customWidth="1"/>
    <col min="5" max="5" width="10.28515625" style="82" customWidth="1"/>
    <col min="6" max="6" width="9.5703125" style="5" customWidth="1"/>
    <col min="7" max="7" width="10.28515625" style="5" customWidth="1"/>
    <col min="8" max="8" width="10.5703125" style="5" customWidth="1"/>
    <col min="9" max="9" width="10.7109375" style="5" bestFit="1" customWidth="1"/>
    <col min="10" max="12" width="9.140625" style="5"/>
    <col min="13" max="13" width="13.7109375" style="310" customWidth="1"/>
    <col min="14" max="14" width="13.425781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3.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145</v>
      </c>
      <c r="E5" s="234"/>
    </row>
    <row r="6" spans="1:9" x14ac:dyDescent="0.25">
      <c r="B6" s="10" t="s">
        <v>1</v>
      </c>
      <c r="C6" s="48"/>
      <c r="D6" s="207">
        <v>1963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16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146</v>
      </c>
      <c r="E9" s="207"/>
    </row>
    <row r="10" spans="1:9" collapsed="1" x14ac:dyDescent="0.25">
      <c r="B10" s="10" t="s">
        <v>5</v>
      </c>
      <c r="C10" s="48"/>
      <c r="D10" s="207" t="s">
        <v>273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147</v>
      </c>
      <c r="E12" s="208"/>
      <c r="I12" s="17"/>
    </row>
    <row r="13" spans="1:9" ht="10.5" customHeight="1" collapsed="1" x14ac:dyDescent="0.25">
      <c r="B13" s="14"/>
      <c r="C13" s="79"/>
      <c r="D13" s="91"/>
      <c r="E13" s="208"/>
      <c r="I13" s="17"/>
    </row>
    <row r="14" spans="1:9" ht="14.25" customHeight="1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3.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517064.26</v>
      </c>
      <c r="D16" s="223"/>
      <c r="E16" s="224">
        <v>358198.66000000003</v>
      </c>
      <c r="F16" s="225"/>
      <c r="G16" s="224">
        <v>158865.60000000001</v>
      </c>
      <c r="H16" s="226"/>
      <c r="I16" s="17"/>
    </row>
    <row r="17" spans="2:15" x14ac:dyDescent="0.25">
      <c r="B17" s="94" t="s">
        <v>16</v>
      </c>
      <c r="C17" s="220">
        <v>453279.33</v>
      </c>
      <c r="D17" s="221"/>
      <c r="E17" s="220">
        <v>314412.14</v>
      </c>
      <c r="F17" s="221"/>
      <c r="G17" s="220">
        <v>138867.19</v>
      </c>
      <c r="H17" s="251"/>
      <c r="I17" s="17"/>
    </row>
    <row r="18" spans="2:15" ht="16.5" thickBot="1" x14ac:dyDescent="0.3">
      <c r="B18" s="95" t="s">
        <v>189</v>
      </c>
      <c r="C18" s="220">
        <v>449196.17870000005</v>
      </c>
      <c r="D18" s="221"/>
      <c r="E18" s="246">
        <v>360954.17870000005</v>
      </c>
      <c r="F18" s="247"/>
      <c r="G18" s="246">
        <v>88242</v>
      </c>
      <c r="H18" s="252"/>
      <c r="I18" s="17"/>
    </row>
    <row r="19" spans="2:15" ht="33" customHeight="1" thickBot="1" x14ac:dyDescent="0.3">
      <c r="B19" s="97" t="s">
        <v>297</v>
      </c>
      <c r="C19" s="216">
        <f>E19+G19</f>
        <v>4083.1512999999686</v>
      </c>
      <c r="D19" s="217"/>
      <c r="E19" s="248">
        <f>E17-E18</f>
        <v>-46542.038700000034</v>
      </c>
      <c r="F19" s="254"/>
      <c r="G19" s="248">
        <f>G17-G18</f>
        <v>50625.19</v>
      </c>
      <c r="H19" s="249"/>
      <c r="I19" s="17"/>
    </row>
    <row r="20" spans="2:15" ht="15" customHeight="1" x14ac:dyDescent="0.25">
      <c r="B20" s="83"/>
      <c r="C20" s="83"/>
      <c r="D20" s="84"/>
      <c r="E20" s="85"/>
      <c r="F20" s="85"/>
      <c r="G20" s="85"/>
      <c r="H20" s="85"/>
      <c r="I20" s="17"/>
    </row>
    <row r="21" spans="2:15" ht="22.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42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69525.64</v>
      </c>
      <c r="N23" s="314">
        <f>M23*1.01</f>
        <v>70220.896399999998</v>
      </c>
    </row>
    <row r="24" spans="2:15" ht="51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7311.2280158730173</v>
      </c>
      <c r="G24" s="24">
        <f>$N$23/$N$24*E24</f>
        <v>7384.340296031748</v>
      </c>
      <c r="H24" s="25">
        <f>F24-G24</f>
        <v>-73.112280158730755</v>
      </c>
      <c r="I24" s="60"/>
      <c r="J24" s="27"/>
      <c r="K24" s="27"/>
      <c r="L24" s="28"/>
      <c r="M24" s="315">
        <f>E33-E31</f>
        <v>10.079999999999998</v>
      </c>
      <c r="N24" s="315">
        <f>E33-E31</f>
        <v>10.079999999999998</v>
      </c>
      <c r="O24" s="27"/>
    </row>
    <row r="25" spans="2:15" ht="51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8207.888055555557</v>
      </c>
      <c r="G25" s="6">
        <f>$N$23/$N$24*E25</f>
        <v>8289.9669361111119</v>
      </c>
      <c r="H25" s="25">
        <f t="shared" ref="H25:H30" si="0">F25-G25</f>
        <v>-82.078880555554861</v>
      </c>
      <c r="I25" s="61"/>
      <c r="J25" s="4"/>
      <c r="K25" s="4"/>
      <c r="L25" s="4"/>
      <c r="M25" s="316"/>
      <c r="N25" s="316"/>
      <c r="O25" s="4"/>
    </row>
    <row r="26" spans="2:15" ht="4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2207.1631746031749</v>
      </c>
      <c r="G26" s="6">
        <f t="shared" ref="G26:G29" si="2">$N$23/$N$24*E26</f>
        <v>2229.2348063492068</v>
      </c>
      <c r="H26" s="25">
        <f t="shared" si="0"/>
        <v>-22.071631746031926</v>
      </c>
      <c r="I26" s="44"/>
      <c r="L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</v>
      </c>
      <c r="F27" s="23">
        <f t="shared" si="1"/>
        <v>0</v>
      </c>
      <c r="G27" s="6">
        <f t="shared" si="2"/>
        <v>0</v>
      </c>
      <c r="H27" s="25">
        <f t="shared" si="0"/>
        <v>0</v>
      </c>
      <c r="I27" s="44"/>
      <c r="L27" s="17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8138.9142063492072</v>
      </c>
      <c r="G28" s="6">
        <f t="shared" si="2"/>
        <v>8220.3033484126991</v>
      </c>
      <c r="H28" s="25">
        <f t="shared" si="0"/>
        <v>-81.389142063491818</v>
      </c>
      <c r="I28" s="44"/>
    </row>
    <row r="29" spans="2:15" ht="233.2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38694.329404761913</v>
      </c>
      <c r="G29" s="6">
        <f t="shared" si="2"/>
        <v>39081.272698809531</v>
      </c>
      <c r="H29" s="25">
        <f t="shared" si="0"/>
        <v>-386.94329404761811</v>
      </c>
      <c r="I29" s="61"/>
      <c r="J29" s="4"/>
      <c r="K29" s="4"/>
      <c r="L29" s="3"/>
      <c r="M29" s="316"/>
      <c r="N29" s="316"/>
    </row>
    <row r="30" spans="2:15" ht="123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1310.5031349206351</v>
      </c>
      <c r="G30" s="6">
        <f t="shared" ref="G30" si="3">$N$23/$N$24*E30</f>
        <v>1323.6081662698416</v>
      </c>
      <c r="H30" s="25">
        <f t="shared" si="0"/>
        <v>-13.105031349206456</v>
      </c>
      <c r="I30" s="44"/>
    </row>
    <row r="31" spans="2:15" ht="45" x14ac:dyDescent="0.25">
      <c r="B31" s="30" t="s">
        <v>206</v>
      </c>
      <c r="C31" s="8" t="s">
        <v>223</v>
      </c>
      <c r="D31" s="22" t="s">
        <v>201</v>
      </c>
      <c r="E31" s="99">
        <v>5.0999999999999996</v>
      </c>
      <c r="F31" s="23">
        <v>36255.699999999997</v>
      </c>
      <c r="G31" s="6">
        <v>41167</v>
      </c>
      <c r="H31" s="25">
        <f>F31-G31</f>
        <v>-4911.3000000000029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0.23+0.3</f>
        <v>0.53</v>
      </c>
      <c r="F32" s="23">
        <f t="shared" si="1"/>
        <v>3655.6140079365086</v>
      </c>
      <c r="G32" s="6">
        <f t="shared" ref="G32" si="4">$N$23/$N$24*E32</f>
        <v>3692.170148015874</v>
      </c>
      <c r="H32" s="33">
        <f>F32-G32</f>
        <v>-36.556140079365377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15.179999999999998</v>
      </c>
      <c r="F33" s="56">
        <f>SUM(F24:F32)</f>
        <v>105781.34000000003</v>
      </c>
      <c r="G33" s="57">
        <f>SUM(G24:G32)</f>
        <v>111387.89640000001</v>
      </c>
      <c r="H33" s="38">
        <f>SUM(H24:H32)</f>
        <v>-5606.5564000000013</v>
      </c>
      <c r="I33" s="44"/>
    </row>
    <row r="34" spans="2:15" x14ac:dyDescent="0.25">
      <c r="B34" s="17"/>
      <c r="C34" s="17"/>
      <c r="D34" s="17"/>
      <c r="E34" s="86"/>
      <c r="F34" s="82"/>
      <c r="G34" s="86"/>
      <c r="H34" s="82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42.7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622845.60000000009</v>
      </c>
      <c r="D37" s="223"/>
      <c r="E37" s="224">
        <f>F24+F25+F26+F27+F28+F29+F30+F32+E16</f>
        <v>427724.30000000005</v>
      </c>
      <c r="F37" s="225"/>
      <c r="G37" s="224">
        <f>F31+G16</f>
        <v>195121.3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566912.69999999995</v>
      </c>
      <c r="D38" s="221"/>
      <c r="E38" s="220">
        <f>E17+74686.45</f>
        <v>389098.59</v>
      </c>
      <c r="F38" s="221"/>
      <c r="G38" s="220">
        <f>G17+38946.92</f>
        <v>177814.11</v>
      </c>
      <c r="H38" s="251"/>
      <c r="I38" s="76"/>
      <c r="J38" s="77"/>
      <c r="K38" s="12"/>
      <c r="L38" s="9"/>
      <c r="M38" s="318"/>
    </row>
    <row r="39" spans="2:15" ht="16.5" thickBot="1" x14ac:dyDescent="0.3">
      <c r="B39" s="95" t="s">
        <v>189</v>
      </c>
      <c r="C39" s="227">
        <f>E39+G39</f>
        <v>560584.07510000002</v>
      </c>
      <c r="D39" s="228"/>
      <c r="E39" s="246">
        <f>G24+G25+G26+G27+G28+G29+G30+G32+E18</f>
        <v>431175.07510000007</v>
      </c>
      <c r="F39" s="247"/>
      <c r="G39" s="246">
        <f>G31+G18</f>
        <v>129409</v>
      </c>
      <c r="H39" s="252"/>
      <c r="I39" s="76"/>
      <c r="J39" s="77"/>
      <c r="K39" s="44"/>
      <c r="L39" s="44"/>
    </row>
    <row r="40" spans="2:15" ht="36.75" thickBot="1" x14ac:dyDescent="0.3">
      <c r="B40" s="97" t="s">
        <v>298</v>
      </c>
      <c r="C40" s="216">
        <f>E40+G40</f>
        <v>6328.624899999937</v>
      </c>
      <c r="D40" s="217"/>
      <c r="E40" s="248">
        <f>E38-E39</f>
        <v>-42076.485100000049</v>
      </c>
      <c r="F40" s="254"/>
      <c r="G40" s="248">
        <f>G38-G39</f>
        <v>48405.109999999986</v>
      </c>
      <c r="H40" s="249"/>
      <c r="I40" s="76"/>
      <c r="J40" s="77"/>
      <c r="K40" s="44"/>
      <c r="L40" s="44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4"/>
      <c r="M41" s="316"/>
      <c r="N41" s="316"/>
      <c r="O41" s="4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4"/>
      <c r="M42" s="316"/>
      <c r="N42" s="316"/>
      <c r="O42" s="4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9.75" customHeight="1" x14ac:dyDescent="0.25">
      <c r="E48" s="209"/>
    </row>
  </sheetData>
  <mergeCells count="54">
    <mergeCell ref="F45:G45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8:F18"/>
    <mergeCell ref="G18:H18"/>
    <mergeCell ref="E19:F19"/>
    <mergeCell ref="G19:H19"/>
    <mergeCell ref="E16:F16"/>
    <mergeCell ref="G16:H16"/>
    <mergeCell ref="E17:F17"/>
    <mergeCell ref="G17:H17"/>
    <mergeCell ref="C15:D15"/>
    <mergeCell ref="C16:D16"/>
    <mergeCell ref="C17:D17"/>
    <mergeCell ref="C18:D18"/>
    <mergeCell ref="C19:D19"/>
    <mergeCell ref="N21:N22"/>
    <mergeCell ref="C36:D36"/>
    <mergeCell ref="C37:D37"/>
    <mergeCell ref="C38:D38"/>
    <mergeCell ref="B35:H35"/>
    <mergeCell ref="E36:F36"/>
    <mergeCell ref="G36:H36"/>
    <mergeCell ref="E37:F37"/>
    <mergeCell ref="G37:H37"/>
    <mergeCell ref="E38:F38"/>
    <mergeCell ref="G38:H38"/>
    <mergeCell ref="C41:E41"/>
    <mergeCell ref="C43:E43"/>
    <mergeCell ref="C45:E45"/>
    <mergeCell ref="C47:E47"/>
    <mergeCell ref="M21:M22"/>
    <mergeCell ref="G39:H39"/>
    <mergeCell ref="G40:H40"/>
    <mergeCell ref="E39:F39"/>
    <mergeCell ref="E40:F40"/>
    <mergeCell ref="C39:D39"/>
    <mergeCell ref="C40:D40"/>
    <mergeCell ref="F43:G43"/>
    <mergeCell ref="F41:G41"/>
    <mergeCell ref="F42:G42"/>
    <mergeCell ref="F47:G47"/>
    <mergeCell ref="F44:G44"/>
  </mergeCells>
  <printOptions horizontalCentered="1"/>
  <pageMargins left="0.19685039370078741" right="0.27559055118110237" top="0.15748031496062992" bottom="0.23622047244094491" header="0.19685039370078741" footer="0.23622047244094491"/>
  <pageSetup paperSize="9" scale="4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0"/>
  <sheetViews>
    <sheetView topLeftCell="A10" zoomScale="110" zoomScaleNormal="110" workbookViewId="0">
      <selection activeCell="M10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7.5703125" style="5" customWidth="1"/>
    <col min="3" max="3" width="22.28515625" style="82" customWidth="1"/>
    <col min="4" max="4" width="9.85546875" style="82" customWidth="1"/>
    <col min="5" max="5" width="10.28515625" style="82" customWidth="1"/>
    <col min="6" max="6" width="10.140625" style="5" customWidth="1"/>
    <col min="7" max="7" width="10.28515625" style="5" customWidth="1"/>
    <col min="8" max="8" width="10.7109375" style="5" customWidth="1"/>
    <col min="9" max="9" width="10.7109375" style="5" bestFit="1" customWidth="1"/>
    <col min="10" max="12" width="9.140625" style="5"/>
    <col min="13" max="13" width="14.5703125" style="310" customWidth="1"/>
    <col min="14" max="14" width="13.57031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148</v>
      </c>
      <c r="E5" s="234"/>
    </row>
    <row r="6" spans="1:9" x14ac:dyDescent="0.25">
      <c r="B6" s="10" t="s">
        <v>1</v>
      </c>
      <c r="C6" s="48"/>
      <c r="D6" s="207">
        <v>1982</v>
      </c>
      <c r="E6" s="207"/>
    </row>
    <row r="7" spans="1:9" hidden="1" outlineLevel="1" x14ac:dyDescent="0.25">
      <c r="B7" s="10" t="s">
        <v>2</v>
      </c>
      <c r="C7" s="48"/>
      <c r="D7" s="207">
        <v>3</v>
      </c>
      <c r="E7" s="207"/>
    </row>
    <row r="8" spans="1:9" hidden="1" outlineLevel="1" x14ac:dyDescent="0.25">
      <c r="B8" s="10" t="s">
        <v>3</v>
      </c>
      <c r="C8" s="48"/>
      <c r="D8" s="207">
        <v>18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149</v>
      </c>
      <c r="E9" s="207"/>
    </row>
    <row r="10" spans="1:9" collapsed="1" x14ac:dyDescent="0.25">
      <c r="B10" s="10" t="s">
        <v>5</v>
      </c>
      <c r="C10" s="48"/>
      <c r="D10" s="207" t="s">
        <v>274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153</v>
      </c>
      <c r="E12" s="208"/>
      <c r="I12" s="17"/>
    </row>
    <row r="13" spans="1:9" ht="12.7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6.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606688.81000000006</v>
      </c>
      <c r="D16" s="253"/>
      <c r="E16" s="224">
        <v>507355.29000000004</v>
      </c>
      <c r="F16" s="225"/>
      <c r="G16" s="224">
        <v>99333.51999999999</v>
      </c>
      <c r="H16" s="226"/>
      <c r="I16" s="17"/>
    </row>
    <row r="17" spans="2:15" x14ac:dyDescent="0.25">
      <c r="B17" s="94" t="s">
        <v>16</v>
      </c>
      <c r="C17" s="220">
        <v>590173.38</v>
      </c>
      <c r="D17" s="221"/>
      <c r="E17" s="220">
        <v>492821.79</v>
      </c>
      <c r="F17" s="221"/>
      <c r="G17" s="220">
        <v>97351.59</v>
      </c>
      <c r="H17" s="251"/>
      <c r="I17" s="17"/>
    </row>
    <row r="18" spans="2:15" x14ac:dyDescent="0.25">
      <c r="B18" s="95" t="s">
        <v>189</v>
      </c>
      <c r="C18" s="220">
        <v>530865.5442</v>
      </c>
      <c r="D18" s="221"/>
      <c r="E18" s="246">
        <v>513161.5442</v>
      </c>
      <c r="F18" s="247"/>
      <c r="G18" s="246">
        <v>17704</v>
      </c>
      <c r="H18" s="252"/>
      <c r="I18" s="17"/>
    </row>
    <row r="19" spans="2:15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5" ht="30.75" customHeight="1" thickBot="1" x14ac:dyDescent="0.3">
      <c r="B20" s="97" t="s">
        <v>297</v>
      </c>
      <c r="C20" s="216">
        <f>E20+G20</f>
        <v>70107.835799999972</v>
      </c>
      <c r="D20" s="217"/>
      <c r="E20" s="248">
        <f>E17+E19-E18</f>
        <v>-9539.7542000000249</v>
      </c>
      <c r="F20" s="254"/>
      <c r="G20" s="248">
        <f>G17-G18</f>
        <v>79647.59</v>
      </c>
      <c r="H20" s="249"/>
      <c r="I20" s="17"/>
    </row>
    <row r="21" spans="2:15" x14ac:dyDescent="0.25">
      <c r="B21" s="83"/>
      <c r="C21" s="83"/>
      <c r="D21" s="84"/>
      <c r="E21" s="85"/>
      <c r="F21" s="85"/>
      <c r="G21" s="85"/>
      <c r="H21" s="85"/>
      <c r="I21" s="17"/>
    </row>
    <row r="22" spans="2:15" ht="16.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L22" s="17"/>
      <c r="M22" s="312" t="s">
        <v>301</v>
      </c>
      <c r="N22" s="312" t="s">
        <v>302</v>
      </c>
    </row>
    <row r="23" spans="2:15" ht="32.25" customHeight="1" x14ac:dyDescent="0.25">
      <c r="B23" s="263" t="s">
        <v>196</v>
      </c>
      <c r="C23" s="237" t="s">
        <v>197</v>
      </c>
      <c r="D23" s="237" t="s">
        <v>210</v>
      </c>
      <c r="E23" s="239" t="s">
        <v>325</v>
      </c>
      <c r="F23" s="241" t="s">
        <v>199</v>
      </c>
      <c r="G23" s="242"/>
      <c r="H23" s="243" t="s">
        <v>227</v>
      </c>
      <c r="L23" s="17"/>
      <c r="M23" s="313"/>
      <c r="N23" s="313"/>
    </row>
    <row r="24" spans="2:15" ht="53.25" customHeight="1" thickBot="1" x14ac:dyDescent="0.3">
      <c r="B24" s="264"/>
      <c r="C24" s="238"/>
      <c r="D24" s="238"/>
      <c r="E24" s="240"/>
      <c r="F24" s="19" t="s">
        <v>187</v>
      </c>
      <c r="G24" s="20" t="s">
        <v>188</v>
      </c>
      <c r="H24" s="244"/>
      <c r="M24" s="314">
        <v>103778.34</v>
      </c>
      <c r="N24" s="314">
        <f>M24*1.01</f>
        <v>104816.1234</v>
      </c>
    </row>
    <row r="25" spans="2:15" ht="56.25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10185.651888888888</v>
      </c>
      <c r="G25" s="24">
        <f>$N$24/$N$25*E25</f>
        <v>10287.508407777777</v>
      </c>
      <c r="H25" s="25">
        <f>F25-G25</f>
        <v>-101.8565188888897</v>
      </c>
      <c r="I25" s="60"/>
      <c r="J25" s="27"/>
      <c r="K25" s="27"/>
      <c r="L25" s="28"/>
      <c r="M25" s="315">
        <f>E34-E32</f>
        <v>10.8</v>
      </c>
      <c r="N25" s="315">
        <f>E34-E32</f>
        <v>10.8</v>
      </c>
      <c r="O25" s="27"/>
    </row>
    <row r="26" spans="2:15" ht="56.25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11434.835611111108</v>
      </c>
      <c r="G26" s="6">
        <f>$N$24/$N$25*E26</f>
        <v>11549.183967222221</v>
      </c>
      <c r="H26" s="25">
        <f t="shared" ref="H26:H31" si="0">F26-G26</f>
        <v>-114.34835611111339</v>
      </c>
      <c r="I26" s="61"/>
      <c r="J26" s="4"/>
      <c r="K26" s="4"/>
      <c r="L26" s="4"/>
      <c r="M26" s="316"/>
      <c r="N26" s="316"/>
      <c r="O26" s="4"/>
    </row>
    <row r="27" spans="2:15" ht="56.25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3074.9137777777773</v>
      </c>
      <c r="G27" s="6">
        <f t="shared" ref="G27:G30" si="2">$N$24/$N$25*E27</f>
        <v>3105.6629155555556</v>
      </c>
      <c r="H27" s="25">
        <f t="shared" si="0"/>
        <v>-30.749137777778287</v>
      </c>
      <c r="I27" s="44"/>
      <c r="L27" s="17"/>
    </row>
    <row r="28" spans="2:15" ht="25.5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800.75879629629617</v>
      </c>
      <c r="G28" s="6">
        <f>($N$24/12*2)/$N$25*E28</f>
        <v>808.7663842592591</v>
      </c>
      <c r="H28" s="25">
        <f t="shared" si="0"/>
        <v>-8.0075879629629299</v>
      </c>
      <c r="I28" s="44"/>
      <c r="L28" s="17"/>
    </row>
    <row r="29" spans="2:15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11338.744555555553</v>
      </c>
      <c r="G29" s="6">
        <f t="shared" si="2"/>
        <v>11452.132001111109</v>
      </c>
      <c r="H29" s="25">
        <f t="shared" si="0"/>
        <v>-113.38744555555604</v>
      </c>
      <c r="I29" s="44"/>
    </row>
    <row r="30" spans="2:15" ht="211.5" customHeight="1" x14ac:dyDescent="0.25">
      <c r="B30" s="29" t="s">
        <v>219</v>
      </c>
      <c r="C30" s="32" t="s">
        <v>204</v>
      </c>
      <c r="D30" s="22" t="s">
        <v>201</v>
      </c>
      <c r="E30" s="99">
        <v>5.61</v>
      </c>
      <c r="F30" s="23">
        <f t="shared" si="1"/>
        <v>53907.08216666666</v>
      </c>
      <c r="G30" s="6">
        <f t="shared" si="2"/>
        <v>54446.152988333335</v>
      </c>
      <c r="H30" s="25">
        <f t="shared" si="0"/>
        <v>-539.07082166667533</v>
      </c>
      <c r="I30" s="61"/>
      <c r="J30" s="4"/>
      <c r="K30" s="4"/>
      <c r="L30" s="3"/>
      <c r="M30" s="316"/>
      <c r="N30" s="316"/>
    </row>
    <row r="31" spans="2:15" ht="123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1825.7300555555553</v>
      </c>
      <c r="G31" s="6">
        <f t="shared" ref="G31" si="3">$N$24/$N$25*E31</f>
        <v>1843.987356111111</v>
      </c>
      <c r="H31" s="25">
        <f t="shared" si="0"/>
        <v>-18.25730055555573</v>
      </c>
      <c r="I31" s="44"/>
    </row>
    <row r="32" spans="2:15" ht="56.25" x14ac:dyDescent="0.25">
      <c r="B32" s="30" t="s">
        <v>206</v>
      </c>
      <c r="C32" s="8" t="s">
        <v>223</v>
      </c>
      <c r="D32" s="22" t="s">
        <v>201</v>
      </c>
      <c r="E32" s="99">
        <v>3.2</v>
      </c>
      <c r="F32" s="23">
        <v>33076.76</v>
      </c>
      <c r="G32" s="6">
        <v>33998</v>
      </c>
      <c r="H32" s="25">
        <f>F32-G32</f>
        <v>-921.23999999999796</v>
      </c>
      <c r="I32" s="44"/>
      <c r="L32" s="17"/>
    </row>
    <row r="33" spans="2:15" ht="16.5" thickBot="1" x14ac:dyDescent="0.3">
      <c r="B33" s="51" t="s">
        <v>186</v>
      </c>
      <c r="C33" s="52" t="s">
        <v>204</v>
      </c>
      <c r="D33" s="53" t="s">
        <v>201</v>
      </c>
      <c r="E33" s="103">
        <f>0.49+0.26</f>
        <v>0.75</v>
      </c>
      <c r="F33" s="23">
        <f t="shared" si="1"/>
        <v>7206.8291666666655</v>
      </c>
      <c r="G33" s="6">
        <f t="shared" ref="G33" si="4">$N$24/$N$25*E33</f>
        <v>7278.8974583333329</v>
      </c>
      <c r="H33" s="33">
        <f>F33-G33</f>
        <v>-72.068291666667392</v>
      </c>
      <c r="I33" s="44"/>
    </row>
    <row r="34" spans="2:15" ht="16.5" thickBot="1" x14ac:dyDescent="0.3">
      <c r="B34" s="54" t="s">
        <v>190</v>
      </c>
      <c r="C34" s="55"/>
      <c r="D34" s="55"/>
      <c r="E34" s="101">
        <f>SUM(E25:E33)</f>
        <v>14</v>
      </c>
      <c r="F34" s="56">
        <f>SUM(F25:F33)</f>
        <v>132851.30601851852</v>
      </c>
      <c r="G34" s="57">
        <f>SUM(G25:G33)</f>
        <v>134770.29147870373</v>
      </c>
      <c r="H34" s="38">
        <f>SUM(H25:H33)</f>
        <v>-1918.9854601851966</v>
      </c>
      <c r="I34" s="44"/>
    </row>
    <row r="35" spans="2:15" x14ac:dyDescent="0.25">
      <c r="B35" s="17"/>
      <c r="C35" s="17"/>
      <c r="D35" s="17"/>
      <c r="E35" s="86"/>
      <c r="F35" s="82"/>
      <c r="G35" s="86"/>
      <c r="H35" s="82"/>
      <c r="O35" s="82"/>
    </row>
    <row r="36" spans="2:15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5" ht="46.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43"/>
      <c r="M37" s="317"/>
      <c r="N37" s="317"/>
    </row>
    <row r="38" spans="2:15" x14ac:dyDescent="0.25">
      <c r="B38" s="93" t="s">
        <v>15</v>
      </c>
      <c r="C38" s="222">
        <f>E38+G38</f>
        <v>739540.11601851857</v>
      </c>
      <c r="D38" s="223"/>
      <c r="E38" s="224">
        <f>F25+F26+F27+F28+F29+F30+F31+F33+E16</f>
        <v>607129.83601851854</v>
      </c>
      <c r="F38" s="225"/>
      <c r="G38" s="224">
        <f>F32+G16</f>
        <v>132410.28</v>
      </c>
      <c r="H38" s="226"/>
      <c r="I38" s="76"/>
      <c r="J38" s="77"/>
      <c r="K38" s="9"/>
      <c r="L38" s="9"/>
      <c r="M38" s="318"/>
    </row>
    <row r="39" spans="2:15" x14ac:dyDescent="0.25">
      <c r="B39" s="94" t="s">
        <v>16</v>
      </c>
      <c r="C39" s="220">
        <f>E39+G39</f>
        <v>713409.23</v>
      </c>
      <c r="D39" s="221"/>
      <c r="E39" s="220">
        <f>E17+93450.75</f>
        <v>586272.54</v>
      </c>
      <c r="F39" s="221"/>
      <c r="G39" s="220">
        <f>G17+29785.1</f>
        <v>127136.69</v>
      </c>
      <c r="H39" s="251"/>
      <c r="I39" s="76"/>
      <c r="J39" s="77"/>
      <c r="K39" s="12"/>
      <c r="L39" s="9"/>
      <c r="M39" s="318"/>
    </row>
    <row r="40" spans="2:15" x14ac:dyDescent="0.25">
      <c r="B40" s="95" t="s">
        <v>189</v>
      </c>
      <c r="C40" s="220">
        <f>E40+G40</f>
        <v>665635.83567870373</v>
      </c>
      <c r="D40" s="221"/>
      <c r="E40" s="246">
        <f>G25+G26+G27+G28+G29+G30+G31+G33+E18</f>
        <v>613933.83567870373</v>
      </c>
      <c r="F40" s="247"/>
      <c r="G40" s="246">
        <f>G32+G18</f>
        <v>51702</v>
      </c>
      <c r="H40" s="252"/>
      <c r="I40" s="76"/>
      <c r="J40" s="77"/>
      <c r="K40" s="44"/>
      <c r="L40" s="44"/>
    </row>
    <row r="41" spans="2:15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76"/>
      <c r="J41" s="77"/>
      <c r="K41" s="44"/>
      <c r="L41" s="44"/>
    </row>
    <row r="42" spans="2:15" ht="25.5" thickBot="1" x14ac:dyDescent="0.3">
      <c r="B42" s="97" t="s">
        <v>298</v>
      </c>
      <c r="C42" s="216">
        <f>E42+G42</f>
        <v>62173.394321296306</v>
      </c>
      <c r="D42" s="217"/>
      <c r="E42" s="248">
        <f>E39+E41-E40</f>
        <v>-13261.295678703696</v>
      </c>
      <c r="F42" s="254"/>
      <c r="G42" s="248">
        <f>G39-G40</f>
        <v>75434.69</v>
      </c>
      <c r="H42" s="249"/>
      <c r="I42" s="76"/>
      <c r="J42" s="77"/>
      <c r="K42" s="44"/>
      <c r="L42" s="44"/>
    </row>
    <row r="43" spans="2:15" ht="27.7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1"/>
      <c r="G44" s="231"/>
      <c r="H44" s="78"/>
      <c r="I44" s="78"/>
      <c r="J44" s="4"/>
      <c r="K44" s="4"/>
      <c r="L44" s="4"/>
      <c r="M44" s="316"/>
      <c r="N44" s="316"/>
      <c r="O44" s="4"/>
    </row>
    <row r="45" spans="2:15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78"/>
      <c r="I45" s="78"/>
      <c r="J45" s="4"/>
      <c r="K45" s="4"/>
      <c r="L45" s="4"/>
      <c r="M45" s="316"/>
      <c r="N45" s="316"/>
      <c r="O45" s="4"/>
    </row>
    <row r="46" spans="2:15" ht="9.75" customHeight="1" x14ac:dyDescent="0.25">
      <c r="B46" s="205"/>
      <c r="C46" s="205"/>
      <c r="D46" s="205"/>
      <c r="E46" s="209"/>
      <c r="F46" s="230"/>
      <c r="G46" s="230"/>
      <c r="H46" s="78"/>
      <c r="I46" s="78"/>
    </row>
    <row r="47" spans="2:15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0.5" customHeight="1" x14ac:dyDescent="0.25">
      <c r="B48" s="45"/>
      <c r="C48" s="45"/>
      <c r="D48" s="45"/>
      <c r="E48" s="209"/>
      <c r="F48" s="46"/>
      <c r="G48" s="47"/>
      <c r="H48" s="48"/>
      <c r="I48" s="10"/>
    </row>
    <row r="49" spans="2:9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78"/>
      <c r="I49" s="78"/>
    </row>
    <row r="50" spans="2:9" ht="9.75" customHeight="1" x14ac:dyDescent="0.25">
      <c r="E50" s="209"/>
    </row>
  </sheetData>
  <mergeCells count="60">
    <mergeCell ref="C43:E43"/>
    <mergeCell ref="C45:E45"/>
    <mergeCell ref="C47:E47"/>
    <mergeCell ref="C49:E49"/>
    <mergeCell ref="F45:G45"/>
    <mergeCell ref="F49:G49"/>
    <mergeCell ref="F46:G46"/>
    <mergeCell ref="F47:G47"/>
    <mergeCell ref="F43:G43"/>
    <mergeCell ref="F44:G44"/>
    <mergeCell ref="G42:H42"/>
    <mergeCell ref="E39:F39"/>
    <mergeCell ref="E42:F42"/>
    <mergeCell ref="E41:F41"/>
    <mergeCell ref="G41:H41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C20:D20"/>
    <mergeCell ref="E16:F16"/>
    <mergeCell ref="G16:H16"/>
    <mergeCell ref="E17:F17"/>
    <mergeCell ref="G17:H17"/>
    <mergeCell ref="E20:F20"/>
    <mergeCell ref="G20:H20"/>
    <mergeCell ref="E18:F18"/>
    <mergeCell ref="G18:H18"/>
    <mergeCell ref="E19:F19"/>
    <mergeCell ref="G19:H19"/>
    <mergeCell ref="C15:D15"/>
    <mergeCell ref="C16:D16"/>
    <mergeCell ref="C17:D17"/>
    <mergeCell ref="C18:D18"/>
    <mergeCell ref="C19:D19"/>
    <mergeCell ref="C40:D40"/>
    <mergeCell ref="C41:D41"/>
    <mergeCell ref="C42:D42"/>
    <mergeCell ref="M22:M23"/>
    <mergeCell ref="N22:N23"/>
    <mergeCell ref="C37:D37"/>
    <mergeCell ref="C38:D38"/>
    <mergeCell ref="C39:D39"/>
    <mergeCell ref="B36:H36"/>
    <mergeCell ref="E37:F37"/>
    <mergeCell ref="G37:H37"/>
    <mergeCell ref="E38:F38"/>
    <mergeCell ref="G38:H38"/>
    <mergeCell ref="G39:H39"/>
    <mergeCell ref="E40:F40"/>
    <mergeCell ref="G40:H40"/>
  </mergeCells>
  <printOptions horizontalCentered="1"/>
  <pageMargins left="0.19685039370078741" right="0.19685039370078741" top="0.19685039370078741" bottom="0.31496062992125984" header="0.31496062992125984" footer="0.31496062992125984"/>
  <pageSetup paperSize="9" scale="5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0"/>
  <sheetViews>
    <sheetView topLeftCell="A10" zoomScale="110" zoomScaleNormal="110" workbookViewId="0">
      <selection activeCell="M10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85546875" style="5" customWidth="1"/>
    <col min="3" max="3" width="23" style="82" customWidth="1"/>
    <col min="4" max="4" width="9.85546875" style="82" customWidth="1"/>
    <col min="5" max="5" width="10.28515625" style="82" customWidth="1"/>
    <col min="6" max="6" width="10.28515625" style="5" customWidth="1"/>
    <col min="7" max="8" width="10.42578125" style="5" customWidth="1"/>
    <col min="9" max="9" width="10.7109375" style="5" bestFit="1" customWidth="1"/>
    <col min="10" max="12" width="9.140625" style="5"/>
    <col min="13" max="13" width="13" style="310" customWidth="1"/>
    <col min="14" max="14" width="14.71093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150</v>
      </c>
      <c r="E5" s="234"/>
    </row>
    <row r="6" spans="1:9" x14ac:dyDescent="0.25">
      <c r="B6" s="10" t="s">
        <v>1</v>
      </c>
      <c r="C6" s="48"/>
      <c r="D6" s="207">
        <v>1983</v>
      </c>
      <c r="E6" s="207"/>
    </row>
    <row r="7" spans="1:9" ht="15.75" hidden="1" customHeight="1" outlineLevel="1" x14ac:dyDescent="0.25">
      <c r="B7" s="10" t="s">
        <v>2</v>
      </c>
      <c r="C7" s="48"/>
      <c r="D7" s="207">
        <v>2</v>
      </c>
      <c r="E7" s="207"/>
    </row>
    <row r="8" spans="1:9" ht="15.75" hidden="1" customHeight="1" outlineLevel="1" x14ac:dyDescent="0.25">
      <c r="B8" s="10" t="s">
        <v>3</v>
      </c>
      <c r="C8" s="48"/>
      <c r="D8" s="207">
        <v>12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151</v>
      </c>
      <c r="E9" s="207"/>
    </row>
    <row r="10" spans="1:9" collapsed="1" x14ac:dyDescent="0.25">
      <c r="B10" s="10" t="s">
        <v>5</v>
      </c>
      <c r="C10" s="48"/>
      <c r="D10" s="207" t="s">
        <v>275</v>
      </c>
      <c r="E10" s="207"/>
      <c r="I10" s="17"/>
    </row>
    <row r="11" spans="1:9" ht="15.75" hidden="1" customHeight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152</v>
      </c>
      <c r="E12" s="208"/>
      <c r="I12" s="17"/>
    </row>
    <row r="13" spans="1:9" ht="9.7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3.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445515.44</v>
      </c>
      <c r="D16" s="327"/>
      <c r="E16" s="222">
        <v>335315.86</v>
      </c>
      <c r="F16" s="327"/>
      <c r="G16" s="222">
        <v>110199.58</v>
      </c>
      <c r="H16" s="328"/>
      <c r="I16" s="17"/>
    </row>
    <row r="17" spans="2:15" x14ac:dyDescent="0.25">
      <c r="B17" s="94" t="s">
        <v>16</v>
      </c>
      <c r="C17" s="220">
        <v>440090.31</v>
      </c>
      <c r="D17" s="329"/>
      <c r="E17" s="220">
        <v>330105.49</v>
      </c>
      <c r="F17" s="329"/>
      <c r="G17" s="220">
        <v>109984.82</v>
      </c>
      <c r="H17" s="330"/>
      <c r="I17" s="17"/>
    </row>
    <row r="18" spans="2:15" x14ac:dyDescent="0.25">
      <c r="B18" s="95" t="s">
        <v>189</v>
      </c>
      <c r="C18" s="220">
        <v>413743.46</v>
      </c>
      <c r="D18" s="329"/>
      <c r="E18" s="220">
        <v>341400.46</v>
      </c>
      <c r="F18" s="329"/>
      <c r="G18" s="220">
        <v>72343</v>
      </c>
      <c r="H18" s="330"/>
      <c r="I18" s="17"/>
    </row>
    <row r="19" spans="2:15" ht="16.5" thickBot="1" x14ac:dyDescent="0.3">
      <c r="B19" s="96" t="s">
        <v>226</v>
      </c>
      <c r="C19" s="227">
        <v>10800</v>
      </c>
      <c r="D19" s="331"/>
      <c r="E19" s="227">
        <v>10800</v>
      </c>
      <c r="F19" s="331"/>
      <c r="G19" s="227">
        <v>0</v>
      </c>
      <c r="H19" s="332"/>
      <c r="I19" s="17"/>
    </row>
    <row r="20" spans="2:15" ht="30" customHeight="1" thickBot="1" x14ac:dyDescent="0.3">
      <c r="B20" s="97" t="s">
        <v>297</v>
      </c>
      <c r="C20" s="216">
        <f>E20+G20</f>
        <v>37146.849999999977</v>
      </c>
      <c r="D20" s="333"/>
      <c r="E20" s="248">
        <f>E17+E19-E18</f>
        <v>-494.97000000003027</v>
      </c>
      <c r="F20" s="333"/>
      <c r="G20" s="248">
        <f>G17-G18</f>
        <v>37641.820000000007</v>
      </c>
      <c r="H20" s="334"/>
      <c r="I20" s="17"/>
    </row>
    <row r="21" spans="2:15" x14ac:dyDescent="0.25">
      <c r="B21" s="14"/>
      <c r="C21" s="79"/>
      <c r="D21" s="91"/>
      <c r="E21" s="208"/>
      <c r="I21" s="17"/>
    </row>
    <row r="22" spans="2:15" ht="23.2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L22" s="17"/>
      <c r="M22" s="312" t="s">
        <v>301</v>
      </c>
      <c r="N22" s="312" t="s">
        <v>302</v>
      </c>
    </row>
    <row r="23" spans="2:15" ht="32.25" customHeight="1" x14ac:dyDescent="0.25">
      <c r="B23" s="263" t="s">
        <v>196</v>
      </c>
      <c r="C23" s="237" t="s">
        <v>197</v>
      </c>
      <c r="D23" s="237" t="s">
        <v>210</v>
      </c>
      <c r="E23" s="239" t="s">
        <v>312</v>
      </c>
      <c r="F23" s="241" t="s">
        <v>199</v>
      </c>
      <c r="G23" s="328"/>
      <c r="H23" s="243" t="s">
        <v>227</v>
      </c>
      <c r="L23" s="17"/>
      <c r="M23" s="339"/>
      <c r="N23" s="339"/>
    </row>
    <row r="24" spans="2:15" ht="53.25" customHeight="1" thickBot="1" x14ac:dyDescent="0.3">
      <c r="B24" s="335"/>
      <c r="C24" s="336"/>
      <c r="D24" s="336"/>
      <c r="E24" s="337"/>
      <c r="F24" s="19" t="s">
        <v>187</v>
      </c>
      <c r="G24" s="20" t="s">
        <v>188</v>
      </c>
      <c r="H24" s="338"/>
      <c r="M24" s="314">
        <v>69893.16</v>
      </c>
      <c r="N24" s="315">
        <f>M24*1.01</f>
        <v>70592.0916</v>
      </c>
    </row>
    <row r="25" spans="2:15" ht="45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6632.6543957027752</v>
      </c>
      <c r="G25" s="24">
        <f>$N$24/$N$25*E25</f>
        <v>6698.9809396598039</v>
      </c>
      <c r="H25" s="25">
        <f>F25-G25</f>
        <v>-66.326543957028662</v>
      </c>
      <c r="I25" s="60"/>
      <c r="J25" s="27"/>
      <c r="K25" s="27"/>
      <c r="L25" s="28"/>
      <c r="M25" s="315">
        <f>E34-E32</f>
        <v>11.17</v>
      </c>
      <c r="N25" s="315">
        <f>E34-E32</f>
        <v>11.17</v>
      </c>
      <c r="O25" s="27"/>
    </row>
    <row r="26" spans="2:15" ht="51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7446.0931423455677</v>
      </c>
      <c r="G26" s="6">
        <f>$N$24/$N$25*E26</f>
        <v>7520.5540737690235</v>
      </c>
      <c r="H26" s="25">
        <f t="shared" ref="H26:H31" si="0">F26-G26</f>
        <v>-74.460931423455804</v>
      </c>
      <c r="I26" s="61"/>
      <c r="J26" s="4"/>
      <c r="K26" s="4"/>
      <c r="L26" s="4"/>
      <c r="M26" s="316"/>
      <c r="N26" s="316"/>
      <c r="O26" s="4"/>
    </row>
    <row r="27" spans="2:15" ht="45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2002.3107609668755</v>
      </c>
      <c r="G27" s="6">
        <f t="shared" ref="G27:G30" si="2">$N$24/$N$25*E27</f>
        <v>2022.3338685765443</v>
      </c>
      <c r="H27" s="25">
        <f t="shared" si="0"/>
        <v>-20.023107609668841</v>
      </c>
      <c r="I27" s="44"/>
      <c r="L27" s="17"/>
    </row>
    <row r="28" spans="2:15" ht="25.5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521.4350940017905</v>
      </c>
      <c r="G28" s="6">
        <f>($N$24/12*2)/$N$25*E28</f>
        <v>526.64944494180838</v>
      </c>
      <c r="H28" s="25">
        <f t="shared" si="0"/>
        <v>-5.21435094001788</v>
      </c>
      <c r="I28" s="44"/>
      <c r="L28" s="17"/>
    </row>
    <row r="29" spans="2:15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7383.5209310653536</v>
      </c>
      <c r="G29" s="6">
        <f t="shared" si="2"/>
        <v>7457.3561403760068</v>
      </c>
      <c r="H29" s="25">
        <f t="shared" si="0"/>
        <v>-73.835209310653227</v>
      </c>
      <c r="I29" s="44"/>
    </row>
    <row r="30" spans="2:15" ht="231.75" customHeight="1" x14ac:dyDescent="0.25">
      <c r="B30" s="29" t="s">
        <v>219</v>
      </c>
      <c r="C30" s="32" t="s">
        <v>204</v>
      </c>
      <c r="D30" s="22" t="s">
        <v>201</v>
      </c>
      <c r="E30" s="99">
        <v>5.61</v>
      </c>
      <c r="F30" s="23">
        <f t="shared" si="1"/>
        <v>35103.010528200539</v>
      </c>
      <c r="G30" s="6">
        <f t="shared" si="2"/>
        <v>35454.040633482546</v>
      </c>
      <c r="H30" s="25">
        <f t="shared" si="0"/>
        <v>-351.03010528200684</v>
      </c>
      <c r="I30" s="61"/>
      <c r="J30" s="4"/>
      <c r="K30" s="4"/>
      <c r="L30" s="3"/>
      <c r="M30" s="316"/>
      <c r="N30" s="316"/>
    </row>
    <row r="31" spans="2:15" ht="121.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1188.8720143240823</v>
      </c>
      <c r="G31" s="6">
        <f t="shared" ref="G31" si="3">$N$24/$N$25*E31</f>
        <v>1200.7607344673231</v>
      </c>
      <c r="H31" s="25">
        <f t="shared" si="0"/>
        <v>-11.888720143240789</v>
      </c>
      <c r="I31" s="44"/>
    </row>
    <row r="32" spans="2:15" ht="45" x14ac:dyDescent="0.25">
      <c r="B32" s="30" t="s">
        <v>206</v>
      </c>
      <c r="C32" s="8" t="s">
        <v>223</v>
      </c>
      <c r="D32" s="22" t="s">
        <v>201</v>
      </c>
      <c r="E32" s="99">
        <v>3.81</v>
      </c>
      <c r="F32" s="23">
        <v>25629.74</v>
      </c>
      <c r="G32" s="6">
        <v>0</v>
      </c>
      <c r="H32" s="25">
        <f>F32-G32</f>
        <v>25629.74</v>
      </c>
      <c r="I32" s="44"/>
      <c r="L32" s="17"/>
    </row>
    <row r="33" spans="2:15" ht="16.5" thickBot="1" x14ac:dyDescent="0.3">
      <c r="B33" s="51" t="s">
        <v>186</v>
      </c>
      <c r="C33" s="52" t="s">
        <v>204</v>
      </c>
      <c r="D33" s="53" t="s">
        <v>201</v>
      </c>
      <c r="E33" s="103">
        <f>0.84+0.28</f>
        <v>1.1200000000000001</v>
      </c>
      <c r="F33" s="23">
        <f t="shared" si="1"/>
        <v>7008.0876633840653</v>
      </c>
      <c r="G33" s="6">
        <f t="shared" ref="G33" si="4">$N$24/$N$25*E33</f>
        <v>7078.1685400179058</v>
      </c>
      <c r="H33" s="33">
        <f>F33-G33</f>
        <v>-70.080876633840489</v>
      </c>
      <c r="I33" s="44"/>
    </row>
    <row r="34" spans="2:15" ht="16.5" thickBot="1" x14ac:dyDescent="0.3">
      <c r="B34" s="54" t="s">
        <v>190</v>
      </c>
      <c r="C34" s="55"/>
      <c r="D34" s="55"/>
      <c r="E34" s="101">
        <f>SUM(E25:E33)</f>
        <v>14.98</v>
      </c>
      <c r="F34" s="56">
        <f>SUM(F25:F33)</f>
        <v>92915.724529991043</v>
      </c>
      <c r="G34" s="57">
        <f>SUM(G25:G33)</f>
        <v>67958.844375290966</v>
      </c>
      <c r="H34" s="38">
        <f>SUM(H25:H33)</f>
        <v>24956.880154700088</v>
      </c>
      <c r="I34" s="44"/>
    </row>
    <row r="35" spans="2:15" x14ac:dyDescent="0.25">
      <c r="B35" s="17"/>
      <c r="C35" s="17"/>
      <c r="D35" s="17"/>
      <c r="E35" s="86"/>
      <c r="F35" s="82"/>
      <c r="G35" s="86"/>
      <c r="H35" s="82"/>
      <c r="O35" s="82"/>
    </row>
    <row r="36" spans="2:15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5" ht="46.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43"/>
      <c r="M37" s="317"/>
      <c r="N37" s="317"/>
    </row>
    <row r="38" spans="2:15" x14ac:dyDescent="0.25">
      <c r="B38" s="93" t="s">
        <v>15</v>
      </c>
      <c r="C38" s="222">
        <f>E38+G38</f>
        <v>538431.1645299911</v>
      </c>
      <c r="D38" s="327"/>
      <c r="E38" s="222">
        <f>F25+F26+F27+F28+F29+F30+F31+F33+E16</f>
        <v>402601.84452999104</v>
      </c>
      <c r="F38" s="327"/>
      <c r="G38" s="222">
        <f>F32+G16</f>
        <v>135829.32</v>
      </c>
      <c r="H38" s="328"/>
      <c r="I38" s="76"/>
      <c r="J38" s="77"/>
      <c r="K38" s="9"/>
      <c r="L38" s="9"/>
      <c r="M38" s="318"/>
    </row>
    <row r="39" spans="2:15" x14ac:dyDescent="0.25">
      <c r="B39" s="94" t="s">
        <v>16</v>
      </c>
      <c r="C39" s="220">
        <f>E39+G39</f>
        <v>536042.27</v>
      </c>
      <c r="D39" s="329"/>
      <c r="E39" s="220">
        <f>E17+70207.1</f>
        <v>400312.58999999997</v>
      </c>
      <c r="F39" s="329"/>
      <c r="G39" s="220">
        <f>G17+25744.86</f>
        <v>135729.68</v>
      </c>
      <c r="H39" s="330"/>
      <c r="I39" s="76"/>
      <c r="J39" s="77"/>
      <c r="K39" s="12"/>
      <c r="L39" s="9"/>
      <c r="M39" s="318"/>
    </row>
    <row r="40" spans="2:15" x14ac:dyDescent="0.25">
      <c r="B40" s="95" t="s">
        <v>189</v>
      </c>
      <c r="C40" s="220">
        <f>E40+G40</f>
        <v>481702.30437529099</v>
      </c>
      <c r="D40" s="329"/>
      <c r="E40" s="220">
        <f>G25+G26+G27+G28+G29+G30+G31+G33+E18</f>
        <v>409359.30437529099</v>
      </c>
      <c r="F40" s="329"/>
      <c r="G40" s="220">
        <f>G32+G18</f>
        <v>72343</v>
      </c>
      <c r="H40" s="330"/>
      <c r="I40" s="76"/>
      <c r="J40" s="77"/>
      <c r="K40" s="44"/>
      <c r="L40" s="44"/>
    </row>
    <row r="41" spans="2:15" ht="16.5" thickBot="1" x14ac:dyDescent="0.3">
      <c r="B41" s="96" t="s">
        <v>226</v>
      </c>
      <c r="C41" s="227">
        <f>E41+G41</f>
        <v>14400</v>
      </c>
      <c r="D41" s="331"/>
      <c r="E41" s="227">
        <f>E19+3600</f>
        <v>14400</v>
      </c>
      <c r="F41" s="331"/>
      <c r="G41" s="227">
        <f>G19</f>
        <v>0</v>
      </c>
      <c r="H41" s="332"/>
      <c r="I41" s="76"/>
      <c r="J41" s="77"/>
      <c r="K41" s="44"/>
      <c r="L41" s="44"/>
    </row>
    <row r="42" spans="2:15" ht="25.5" thickBot="1" x14ac:dyDescent="0.3">
      <c r="B42" s="97" t="s">
        <v>298</v>
      </c>
      <c r="C42" s="216">
        <f>E42+G42</f>
        <v>68739.965624708973</v>
      </c>
      <c r="D42" s="333"/>
      <c r="E42" s="248">
        <f>E39+E41-E40</f>
        <v>5353.2856247089803</v>
      </c>
      <c r="F42" s="333"/>
      <c r="G42" s="248">
        <f>G39-G40</f>
        <v>63386.679999999993</v>
      </c>
      <c r="H42" s="334"/>
      <c r="I42" s="76"/>
      <c r="J42" s="77"/>
      <c r="K42" s="44"/>
      <c r="L42" s="44"/>
    </row>
    <row r="43" spans="2:15" ht="27.75" customHeight="1" x14ac:dyDescent="0.25">
      <c r="B43" s="205" t="s">
        <v>180</v>
      </c>
      <c r="C43" s="306" t="s">
        <v>308</v>
      </c>
      <c r="D43" s="306"/>
      <c r="E43" s="306"/>
      <c r="F43" s="307" t="s">
        <v>10</v>
      </c>
      <c r="G43" s="307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1"/>
      <c r="G44" s="231"/>
      <c r="H44" s="78"/>
      <c r="I44" s="78"/>
      <c r="J44" s="4"/>
      <c r="K44" s="4"/>
      <c r="L44" s="4"/>
      <c r="M44" s="316"/>
      <c r="N44" s="316"/>
      <c r="O44" s="4"/>
    </row>
    <row r="45" spans="2:15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78"/>
      <c r="I45" s="78"/>
      <c r="J45" s="4"/>
      <c r="K45" s="4"/>
      <c r="L45" s="4"/>
      <c r="M45" s="316"/>
      <c r="N45" s="316"/>
      <c r="O45" s="4"/>
    </row>
    <row r="46" spans="2:15" ht="9.75" customHeight="1" x14ac:dyDescent="0.25">
      <c r="B46" s="205"/>
      <c r="C46" s="205"/>
      <c r="D46" s="205"/>
      <c r="E46" s="209"/>
      <c r="F46" s="230"/>
      <c r="G46" s="230"/>
      <c r="H46" s="78"/>
      <c r="I46" s="78"/>
    </row>
    <row r="47" spans="2:15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0.5" customHeight="1" x14ac:dyDescent="0.25">
      <c r="B48" s="45"/>
      <c r="C48" s="45"/>
      <c r="D48" s="45"/>
      <c r="E48" s="209"/>
      <c r="F48" s="46"/>
      <c r="G48" s="47"/>
      <c r="H48" s="48"/>
      <c r="I48" s="10"/>
    </row>
    <row r="49" spans="2:9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78"/>
      <c r="I49" s="78"/>
    </row>
    <row r="50" spans="2:9" ht="9.75" customHeight="1" x14ac:dyDescent="0.25">
      <c r="E50" s="209"/>
    </row>
  </sheetData>
  <mergeCells count="60">
    <mergeCell ref="C47:E47"/>
    <mergeCell ref="C49:E49"/>
    <mergeCell ref="F47:G47"/>
    <mergeCell ref="F49:G49"/>
    <mergeCell ref="C40:D40"/>
    <mergeCell ref="C41:D41"/>
    <mergeCell ref="C42:D42"/>
    <mergeCell ref="F45:G45"/>
    <mergeCell ref="F46:G46"/>
    <mergeCell ref="F44:G44"/>
    <mergeCell ref="E40:F40"/>
    <mergeCell ref="G40:H40"/>
    <mergeCell ref="G42:H42"/>
    <mergeCell ref="F43:G43"/>
    <mergeCell ref="E42:F42"/>
    <mergeCell ref="E41:F41"/>
    <mergeCell ref="G41:H41"/>
    <mergeCell ref="C43:E43"/>
    <mergeCell ref="C45:E45"/>
    <mergeCell ref="E38:F38"/>
    <mergeCell ref="G38:H38"/>
    <mergeCell ref="E39:F39"/>
    <mergeCell ref="G39:H39"/>
    <mergeCell ref="C38:D38"/>
    <mergeCell ref="C39:D39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E18:F18"/>
    <mergeCell ref="G18:H18"/>
    <mergeCell ref="E19:F19"/>
    <mergeCell ref="G19:H19"/>
    <mergeCell ref="C19:D19"/>
    <mergeCell ref="C20:D20"/>
    <mergeCell ref="E37:F37"/>
    <mergeCell ref="G37:H37"/>
    <mergeCell ref="C37:D37"/>
    <mergeCell ref="D5:E5"/>
    <mergeCell ref="B14:H14"/>
    <mergeCell ref="E15:F15"/>
    <mergeCell ref="G15:H15"/>
    <mergeCell ref="C15:D15"/>
    <mergeCell ref="E16:F16"/>
    <mergeCell ref="G16:H16"/>
    <mergeCell ref="E17:F17"/>
    <mergeCell ref="G17:H17"/>
    <mergeCell ref="C16:D16"/>
    <mergeCell ref="C17:D17"/>
    <mergeCell ref="C18:D18"/>
    <mergeCell ref="M22:M23"/>
    <mergeCell ref="N22:N23"/>
    <mergeCell ref="E20:F20"/>
    <mergeCell ref="G20:H20"/>
    <mergeCell ref="B36:H36"/>
  </mergeCells>
  <printOptions horizontalCentered="1"/>
  <pageMargins left="0.23622047244094491" right="0.19685039370078741" top="0.15748031496062992" bottom="0.23622047244094491" header="0.31496062992125984" footer="0.24"/>
  <pageSetup paperSize="9" scale="4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9"/>
  <sheetViews>
    <sheetView zoomScale="110" zoomScaleNormal="110" workbookViewId="0">
      <selection activeCell="M1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7109375" style="5" customWidth="1"/>
    <col min="3" max="3" width="21.140625" style="82" customWidth="1"/>
    <col min="4" max="4" width="8.42578125" style="82" customWidth="1"/>
    <col min="5" max="5" width="10.28515625" style="82" customWidth="1"/>
    <col min="6" max="6" width="11" style="5" customWidth="1"/>
    <col min="7" max="7" width="13" style="5" customWidth="1"/>
    <col min="8" max="8" width="10.5703125" style="5" customWidth="1"/>
    <col min="9" max="9" width="10.7109375" style="5" bestFit="1" customWidth="1"/>
    <col min="10" max="12" width="9.140625" style="5"/>
    <col min="13" max="13" width="14.140625" style="310" customWidth="1"/>
    <col min="14" max="14" width="13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4.2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154</v>
      </c>
      <c r="E5" s="234"/>
    </row>
    <row r="6" spans="1:9" x14ac:dyDescent="0.25">
      <c r="B6" s="10" t="s">
        <v>1</v>
      </c>
      <c r="C6" s="48"/>
      <c r="D6" s="207">
        <v>1985</v>
      </c>
      <c r="E6" s="207"/>
    </row>
    <row r="7" spans="1:9" hidden="1" outlineLevel="1" x14ac:dyDescent="0.25">
      <c r="B7" s="10" t="s">
        <v>2</v>
      </c>
      <c r="C7" s="48"/>
      <c r="D7" s="207">
        <v>3</v>
      </c>
      <c r="E7" s="207"/>
    </row>
    <row r="8" spans="1:9" hidden="1" outlineLevel="1" x14ac:dyDescent="0.25">
      <c r="B8" s="10" t="s">
        <v>3</v>
      </c>
      <c r="C8" s="48"/>
      <c r="D8" s="207">
        <v>23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155</v>
      </c>
      <c r="E9" s="207"/>
    </row>
    <row r="10" spans="1:9" collapsed="1" x14ac:dyDescent="0.25">
      <c r="B10" s="10" t="s">
        <v>5</v>
      </c>
      <c r="C10" s="48"/>
      <c r="D10" s="207" t="s">
        <v>276</v>
      </c>
      <c r="E10" s="207"/>
      <c r="I10" s="17"/>
    </row>
    <row r="11" spans="1:9" ht="30.75" hidden="1" customHeight="1" outlineLevel="1" x14ac:dyDescent="0.25">
      <c r="B11" s="14" t="s">
        <v>7</v>
      </c>
      <c r="C11" s="79"/>
      <c r="D11" s="91" t="s">
        <v>156</v>
      </c>
      <c r="E11" s="208"/>
      <c r="I11" s="17"/>
    </row>
    <row r="12" spans="1:9" ht="8.25" customHeight="1" collapsed="1" x14ac:dyDescent="0.25"/>
    <row r="13" spans="1:9" ht="16.5" thickBot="1" x14ac:dyDescent="0.3">
      <c r="B13" s="260" t="s">
        <v>313</v>
      </c>
      <c r="C13" s="260"/>
      <c r="D13" s="260"/>
      <c r="E13" s="260"/>
      <c r="F13" s="260"/>
      <c r="G13" s="260"/>
      <c r="H13" s="260"/>
    </row>
    <row r="14" spans="1:9" ht="48" customHeight="1" thickBot="1" x14ac:dyDescent="0.3">
      <c r="B14" s="92" t="s">
        <v>311</v>
      </c>
      <c r="C14" s="266" t="s">
        <v>207</v>
      </c>
      <c r="D14" s="267"/>
      <c r="E14" s="257" t="s">
        <v>8</v>
      </c>
      <c r="F14" s="258"/>
      <c r="G14" s="257" t="s">
        <v>9</v>
      </c>
      <c r="H14" s="259"/>
    </row>
    <row r="15" spans="1:9" x14ac:dyDescent="0.25">
      <c r="B15" s="93" t="s">
        <v>15</v>
      </c>
      <c r="C15" s="222">
        <v>824732.01</v>
      </c>
      <c r="D15" s="253"/>
      <c r="E15" s="224">
        <v>690992.36</v>
      </c>
      <c r="F15" s="225"/>
      <c r="G15" s="224">
        <v>133739.65</v>
      </c>
      <c r="H15" s="226"/>
    </row>
    <row r="16" spans="1:9" x14ac:dyDescent="0.25">
      <c r="B16" s="94" t="s">
        <v>16</v>
      </c>
      <c r="C16" s="220">
        <v>799949.43</v>
      </c>
      <c r="D16" s="221"/>
      <c r="E16" s="220">
        <v>667042.39</v>
      </c>
      <c r="F16" s="221"/>
      <c r="G16" s="220">
        <v>132907.04</v>
      </c>
      <c r="H16" s="251"/>
    </row>
    <row r="17" spans="2:15" x14ac:dyDescent="0.25">
      <c r="B17" s="95" t="s">
        <v>189</v>
      </c>
      <c r="C17" s="220">
        <v>787505.46940000006</v>
      </c>
      <c r="D17" s="221"/>
      <c r="E17" s="246">
        <v>703375.46940000006</v>
      </c>
      <c r="F17" s="247"/>
      <c r="G17" s="246">
        <v>84130</v>
      </c>
      <c r="H17" s="252"/>
    </row>
    <row r="18" spans="2:15" ht="16.5" thickBot="1" x14ac:dyDescent="0.3">
      <c r="B18" s="96" t="s">
        <v>226</v>
      </c>
      <c r="C18" s="220">
        <v>10800</v>
      </c>
      <c r="D18" s="221"/>
      <c r="E18" s="227">
        <v>10800</v>
      </c>
      <c r="F18" s="228"/>
      <c r="G18" s="227">
        <v>0</v>
      </c>
      <c r="H18" s="250"/>
    </row>
    <row r="19" spans="2:15" ht="30" customHeight="1" thickBot="1" x14ac:dyDescent="0.3">
      <c r="B19" s="97" t="s">
        <v>297</v>
      </c>
      <c r="C19" s="216">
        <f>E19+G19</f>
        <v>23243.960599999962</v>
      </c>
      <c r="D19" s="217"/>
      <c r="E19" s="248">
        <f>E16+E18-E17</f>
        <v>-25533.079400000046</v>
      </c>
      <c r="F19" s="254"/>
      <c r="G19" s="248">
        <f>G16-G17</f>
        <v>48777.040000000008</v>
      </c>
      <c r="H19" s="249"/>
    </row>
    <row r="21" spans="2:15" ht="22.5" customHeight="1" collapsed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142388.84</v>
      </c>
      <c r="N23" s="314">
        <f>M23*1.01</f>
        <v>143812.72839999999</v>
      </c>
    </row>
    <row r="24" spans="2:15" ht="56.25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14119.005650140316</v>
      </c>
      <c r="G24" s="24">
        <f>$N$23/$N$24*E24</f>
        <v>14260.19570664172</v>
      </c>
      <c r="H24" s="25">
        <f>F24-G24</f>
        <v>-141.19005650140389</v>
      </c>
      <c r="I24" s="60"/>
      <c r="J24" s="27"/>
      <c r="K24" s="27"/>
      <c r="L24" s="28"/>
      <c r="M24" s="315">
        <f>E33-E31</f>
        <v>10.690000000000001</v>
      </c>
      <c r="N24" s="315">
        <f>E33-E31</f>
        <v>10.690000000000001</v>
      </c>
      <c r="O24" s="27"/>
    </row>
    <row r="25" spans="2:15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15850.581814780164</v>
      </c>
      <c r="G25" s="6">
        <f>$N$23/$N$24*E25</f>
        <v>16009.087632927967</v>
      </c>
      <c r="H25" s="25">
        <f t="shared" ref="H25:H30" si="0">F25-G25</f>
        <v>-158.50581814780344</v>
      </c>
      <c r="I25" s="61"/>
      <c r="J25" s="4"/>
      <c r="K25" s="4"/>
      <c r="L25" s="4"/>
      <c r="M25" s="316"/>
      <c r="N25" s="316"/>
      <c r="O25" s="4"/>
    </row>
    <row r="26" spans="2:15" ht="56.2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4262.341328344246</v>
      </c>
      <c r="G26" s="6">
        <f t="shared" ref="G26:G29" si="2">$N$23/$N$24*E26</f>
        <v>4304.9647416276885</v>
      </c>
      <c r="H26" s="25">
        <f t="shared" si="0"/>
        <v>-42.62341328344246</v>
      </c>
      <c r="I26" s="44"/>
      <c r="L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1109.9847209229808</v>
      </c>
      <c r="G27" s="6">
        <f>($N$23/12*2)/$N$24*E27</f>
        <v>1121.0845681322105</v>
      </c>
      <c r="H27" s="25">
        <f t="shared" si="0"/>
        <v>-11.099847209229665</v>
      </c>
      <c r="I27" s="44"/>
      <c r="L27" s="17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15717.383648269406</v>
      </c>
      <c r="G28" s="6">
        <f t="shared" si="2"/>
        <v>15874.5574847521</v>
      </c>
      <c r="H28" s="25">
        <f t="shared" si="0"/>
        <v>-157.17383648269424</v>
      </c>
      <c r="I28" s="44"/>
    </row>
    <row r="29" spans="2:15" ht="216.7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74724.17141253507</v>
      </c>
      <c r="G29" s="6">
        <f t="shared" si="2"/>
        <v>75471.413126660424</v>
      </c>
      <c r="H29" s="25">
        <f t="shared" si="0"/>
        <v>-747.24171412535361</v>
      </c>
      <c r="I29" s="61"/>
      <c r="J29" s="4"/>
      <c r="K29" s="4"/>
      <c r="L29" s="3"/>
      <c r="M29" s="316"/>
      <c r="N29" s="316"/>
    </row>
    <row r="30" spans="2:15" ht="121.5" customHeight="1" x14ac:dyDescent="0.25">
      <c r="B30" s="29" t="s">
        <v>205</v>
      </c>
      <c r="C30" s="8" t="s">
        <v>223</v>
      </c>
      <c r="D30" s="22" t="s">
        <v>201</v>
      </c>
      <c r="E30" s="99">
        <v>0.24</v>
      </c>
      <c r="F30" s="23">
        <f t="shared" si="1"/>
        <v>3196.7559962581845</v>
      </c>
      <c r="G30" s="6">
        <f t="shared" ref="G30" si="3">$N$23/$N$24*E30</f>
        <v>3228.7235562207666</v>
      </c>
      <c r="H30" s="25">
        <f t="shared" si="0"/>
        <v>-31.967559962582072</v>
      </c>
      <c r="I30" s="44"/>
    </row>
    <row r="31" spans="2:15" ht="56.25" x14ac:dyDescent="0.25">
      <c r="B31" s="30" t="s">
        <v>206</v>
      </c>
      <c r="C31" s="8" t="s">
        <v>223</v>
      </c>
      <c r="D31" s="22" t="s">
        <v>201</v>
      </c>
      <c r="E31" s="99">
        <v>3.2</v>
      </c>
      <c r="F31" s="23">
        <v>45337.74</v>
      </c>
      <c r="G31" s="6">
        <v>12968</v>
      </c>
      <c r="H31" s="25">
        <f>F31-G31</f>
        <v>32369.739999999998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0.32+0.27</f>
        <v>0.59000000000000008</v>
      </c>
      <c r="F32" s="23">
        <f t="shared" si="1"/>
        <v>7858.6918241347048</v>
      </c>
      <c r="G32" s="6">
        <f t="shared" ref="G32" si="4">$N$23/$N$24*E32</f>
        <v>7937.2787423760519</v>
      </c>
      <c r="H32" s="33">
        <f>F32-G32</f>
        <v>-78.586918241347121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13.89</v>
      </c>
      <c r="F33" s="56">
        <f>SUM(F24:F32)</f>
        <v>182176.65639538507</v>
      </c>
      <c r="G33" s="57">
        <f>SUM(G24:G32)</f>
        <v>151175.30555933891</v>
      </c>
      <c r="H33" s="38">
        <f>SUM(H24:H32)</f>
        <v>31001.350836046142</v>
      </c>
      <c r="I33" s="44"/>
    </row>
    <row r="34" spans="2:15" x14ac:dyDescent="0.25">
      <c r="B34" s="17"/>
      <c r="C34" s="17"/>
      <c r="D34" s="17"/>
      <c r="E34" s="86"/>
      <c r="F34" s="82"/>
      <c r="G34" s="86"/>
      <c r="H34" s="82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39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1006908.6663953851</v>
      </c>
      <c r="D37" s="223"/>
      <c r="E37" s="224">
        <f>F24+F25+F26+F27+F28+F29+F30+F32+E15</f>
        <v>827831.27639538504</v>
      </c>
      <c r="F37" s="225"/>
      <c r="G37" s="224">
        <f>F31+G15</f>
        <v>179077.38999999998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981519.97000000009</v>
      </c>
      <c r="D38" s="221"/>
      <c r="E38" s="220">
        <f>E16+137719.54</f>
        <v>804761.93</v>
      </c>
      <c r="F38" s="221"/>
      <c r="G38" s="220">
        <f>G16+43851</f>
        <v>176758.04</v>
      </c>
      <c r="H38" s="251"/>
      <c r="I38" s="76"/>
      <c r="J38" s="77"/>
      <c r="K38" s="12"/>
      <c r="L38" s="9"/>
      <c r="M38" s="318"/>
    </row>
    <row r="39" spans="2:15" x14ac:dyDescent="0.25">
      <c r="B39" s="95" t="s">
        <v>189</v>
      </c>
      <c r="C39" s="220">
        <f>E39+G39</f>
        <v>938680.77495933895</v>
      </c>
      <c r="D39" s="221"/>
      <c r="E39" s="246">
        <f>G24+G25+G26+G27+G28+G29+G30+G32+E17</f>
        <v>841582.77495933895</v>
      </c>
      <c r="F39" s="247"/>
      <c r="G39" s="246">
        <f>G31+G17</f>
        <v>97098</v>
      </c>
      <c r="H39" s="252"/>
      <c r="I39" s="76"/>
      <c r="J39" s="77"/>
      <c r="K39" s="44"/>
      <c r="L39" s="44"/>
    </row>
    <row r="40" spans="2:15" ht="16.5" thickBot="1" x14ac:dyDescent="0.3">
      <c r="B40" s="96" t="s">
        <v>226</v>
      </c>
      <c r="C40" s="227">
        <f>E40+G40</f>
        <v>14400</v>
      </c>
      <c r="D40" s="228"/>
      <c r="E40" s="227">
        <f>E18+3600</f>
        <v>14400</v>
      </c>
      <c r="F40" s="228"/>
      <c r="G40" s="227">
        <f>G18</f>
        <v>0</v>
      </c>
      <c r="H40" s="250"/>
      <c r="I40" s="76"/>
      <c r="J40" s="77"/>
      <c r="K40" s="44"/>
      <c r="L40" s="44"/>
    </row>
    <row r="41" spans="2:15" ht="25.5" thickBot="1" x14ac:dyDescent="0.3">
      <c r="B41" s="97" t="s">
        <v>298</v>
      </c>
      <c r="C41" s="216">
        <f>E41+G41</f>
        <v>57239.195040661114</v>
      </c>
      <c r="D41" s="217"/>
      <c r="E41" s="248">
        <f>E38+E40-E39</f>
        <v>-22420.844959338894</v>
      </c>
      <c r="F41" s="254"/>
      <c r="G41" s="248">
        <f>G38-G39</f>
        <v>79660.040000000008</v>
      </c>
      <c r="H41" s="249"/>
      <c r="I41" s="76"/>
      <c r="J41" s="77"/>
      <c r="K41" s="44"/>
      <c r="L41" s="44"/>
    </row>
    <row r="42" spans="2:15" ht="27.75" customHeight="1" x14ac:dyDescent="0.25">
      <c r="B42" s="205" t="s">
        <v>180</v>
      </c>
      <c r="C42" s="232" t="s">
        <v>308</v>
      </c>
      <c r="D42" s="232"/>
      <c r="E42" s="232"/>
      <c r="F42" s="230" t="s">
        <v>10</v>
      </c>
      <c r="G42" s="230"/>
      <c r="H42" s="78"/>
      <c r="I42" s="78"/>
      <c r="J42" s="4"/>
      <c r="K42" s="4"/>
      <c r="L42" s="4"/>
      <c r="M42" s="316"/>
      <c r="N42" s="316"/>
      <c r="O42" s="4"/>
    </row>
    <row r="43" spans="2:15" ht="9.75" customHeight="1" x14ac:dyDescent="0.25">
      <c r="B43" s="205"/>
      <c r="C43" s="205"/>
      <c r="D43" s="205"/>
      <c r="E43" s="209"/>
      <c r="F43" s="231"/>
      <c r="G43" s="231"/>
      <c r="H43" s="78"/>
      <c r="I43" s="78"/>
      <c r="J43" s="4"/>
      <c r="K43" s="4"/>
      <c r="L43" s="4"/>
      <c r="M43" s="316"/>
      <c r="N43" s="316"/>
      <c r="O43" s="4"/>
    </row>
    <row r="44" spans="2:15" x14ac:dyDescent="0.25">
      <c r="B44" s="205" t="s">
        <v>181</v>
      </c>
      <c r="C44" s="232" t="s">
        <v>308</v>
      </c>
      <c r="D44" s="232"/>
      <c r="E44" s="232"/>
      <c r="F44" s="230" t="s">
        <v>208</v>
      </c>
      <c r="G44" s="230"/>
      <c r="H44" s="78"/>
      <c r="I44" s="78"/>
      <c r="J44" s="4"/>
      <c r="K44" s="4"/>
      <c r="L44" s="4"/>
      <c r="M44" s="316"/>
      <c r="N44" s="316"/>
      <c r="O44" s="4"/>
    </row>
    <row r="45" spans="2:15" ht="9.75" customHeight="1" x14ac:dyDescent="0.25">
      <c r="B45" s="205"/>
      <c r="C45" s="205"/>
      <c r="D45" s="205"/>
      <c r="E45" s="209"/>
      <c r="F45" s="230"/>
      <c r="G45" s="230"/>
      <c r="H45" s="78"/>
      <c r="I45" s="78"/>
    </row>
    <row r="46" spans="2:15" x14ac:dyDescent="0.25">
      <c r="B46" s="205" t="s">
        <v>182</v>
      </c>
      <c r="C46" s="232" t="s">
        <v>308</v>
      </c>
      <c r="D46" s="232"/>
      <c r="E46" s="232"/>
      <c r="F46" s="230" t="s">
        <v>209</v>
      </c>
      <c r="G46" s="230"/>
      <c r="H46" s="78"/>
      <c r="I46" s="78"/>
    </row>
    <row r="47" spans="2:15" ht="10.5" customHeight="1" x14ac:dyDescent="0.25">
      <c r="B47" s="45"/>
      <c r="C47" s="45"/>
      <c r="D47" s="45"/>
      <c r="E47" s="209"/>
      <c r="F47" s="46"/>
      <c r="G47" s="47"/>
      <c r="H47" s="48"/>
      <c r="I47" s="10"/>
    </row>
    <row r="48" spans="2:15" x14ac:dyDescent="0.25">
      <c r="B48" s="205" t="s">
        <v>183</v>
      </c>
      <c r="C48" s="232" t="s">
        <v>308</v>
      </c>
      <c r="D48" s="232"/>
      <c r="E48" s="232"/>
      <c r="F48" s="230" t="s">
        <v>209</v>
      </c>
      <c r="G48" s="230"/>
      <c r="H48" s="78"/>
      <c r="I48" s="78"/>
    </row>
    <row r="49" spans="5:5" ht="9.75" customHeight="1" x14ac:dyDescent="0.25">
      <c r="E49" s="209"/>
    </row>
  </sheetData>
  <mergeCells count="60">
    <mergeCell ref="C42:E42"/>
    <mergeCell ref="C44:E44"/>
    <mergeCell ref="C46:E46"/>
    <mergeCell ref="C48:E48"/>
    <mergeCell ref="F45:G45"/>
    <mergeCell ref="F42:G42"/>
    <mergeCell ref="F43:G43"/>
    <mergeCell ref="F46:G46"/>
    <mergeCell ref="F48:G48"/>
    <mergeCell ref="F44:G44"/>
    <mergeCell ref="E37:F37"/>
    <mergeCell ref="G37:H37"/>
    <mergeCell ref="E38:F38"/>
    <mergeCell ref="G38:H38"/>
    <mergeCell ref="E39:F39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3:H13"/>
    <mergeCell ref="E14:F14"/>
    <mergeCell ref="G14:H14"/>
    <mergeCell ref="C19:D19"/>
    <mergeCell ref="E15:F15"/>
    <mergeCell ref="G15:H15"/>
    <mergeCell ref="E16:F16"/>
    <mergeCell ref="G16:H16"/>
    <mergeCell ref="E19:F19"/>
    <mergeCell ref="G19:H19"/>
    <mergeCell ref="E17:F17"/>
    <mergeCell ref="G17:H17"/>
    <mergeCell ref="E18:F18"/>
    <mergeCell ref="G18:H18"/>
    <mergeCell ref="C14:D14"/>
    <mergeCell ref="C15:D15"/>
    <mergeCell ref="C16:D16"/>
    <mergeCell ref="C17:D17"/>
    <mergeCell ref="C18:D18"/>
    <mergeCell ref="C39:D39"/>
    <mergeCell ref="C40:D40"/>
    <mergeCell ref="C41:D41"/>
    <mergeCell ref="M21:M22"/>
    <mergeCell ref="N21:N22"/>
    <mergeCell ref="C36:D36"/>
    <mergeCell ref="C37:D37"/>
    <mergeCell ref="C38:D38"/>
    <mergeCell ref="G39:H39"/>
    <mergeCell ref="G41:H41"/>
    <mergeCell ref="E40:F40"/>
    <mergeCell ref="G40:H40"/>
    <mergeCell ref="B35:H35"/>
    <mergeCell ref="E36:F36"/>
    <mergeCell ref="G36:H36"/>
    <mergeCell ref="E41:F41"/>
  </mergeCells>
  <printOptions horizontalCentered="1"/>
  <pageMargins left="0.19685039370078741" right="0.19685039370078741" top="0.15748031496062992" bottom="0.23622047244094491" header="0.31496062992125984" footer="0.24"/>
  <pageSetup paperSize="9" scale="5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0"/>
  <sheetViews>
    <sheetView topLeftCell="B22" zoomScale="110" zoomScaleNormal="110" workbookViewId="0">
      <selection activeCell="M22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28515625" style="5" customWidth="1"/>
    <col min="3" max="3" width="21.5703125" style="82" customWidth="1"/>
    <col min="4" max="4" width="8.42578125" style="82" customWidth="1"/>
    <col min="5" max="5" width="10.28515625" style="82" customWidth="1"/>
    <col min="6" max="6" width="10.140625" style="5" customWidth="1"/>
    <col min="7" max="7" width="10.28515625" style="5" customWidth="1"/>
    <col min="8" max="8" width="10.5703125" style="5" customWidth="1"/>
    <col min="9" max="9" width="11.85546875" style="5" customWidth="1"/>
    <col min="10" max="12" width="9.140625" style="5"/>
    <col min="13" max="13" width="13.42578125" style="310" customWidth="1"/>
    <col min="14" max="14" width="13.71093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157</v>
      </c>
      <c r="E5" s="234"/>
    </row>
    <row r="6" spans="1:9" x14ac:dyDescent="0.25">
      <c r="B6" s="10" t="s">
        <v>1</v>
      </c>
      <c r="C6" s="48"/>
      <c r="D6" s="207">
        <v>1990</v>
      </c>
      <c r="E6" s="207"/>
    </row>
    <row r="7" spans="1:9" hidden="1" outlineLevel="1" x14ac:dyDescent="0.25">
      <c r="B7" s="10" t="s">
        <v>2</v>
      </c>
      <c r="C7" s="48"/>
      <c r="D7" s="207">
        <v>4</v>
      </c>
      <c r="E7" s="207"/>
    </row>
    <row r="8" spans="1:9" hidden="1" outlineLevel="1" x14ac:dyDescent="0.25">
      <c r="B8" s="10" t="s">
        <v>3</v>
      </c>
      <c r="C8" s="48"/>
      <c r="D8" s="207">
        <v>30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158</v>
      </c>
      <c r="E9" s="207"/>
    </row>
    <row r="10" spans="1:9" collapsed="1" x14ac:dyDescent="0.25">
      <c r="B10" s="10" t="s">
        <v>5</v>
      </c>
      <c r="C10" s="48"/>
      <c r="D10" s="207" t="s">
        <v>277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159</v>
      </c>
      <c r="E12" s="208"/>
      <c r="I12" s="17"/>
    </row>
    <row r="13" spans="1:9" ht="10.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8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1501633.54</v>
      </c>
      <c r="D16" s="253"/>
      <c r="E16" s="224">
        <v>1094073.46</v>
      </c>
      <c r="F16" s="225"/>
      <c r="G16" s="224">
        <v>407560.08</v>
      </c>
      <c r="H16" s="226"/>
      <c r="I16" s="17"/>
    </row>
    <row r="17" spans="2:15" x14ac:dyDescent="0.25">
      <c r="B17" s="94" t="s">
        <v>16</v>
      </c>
      <c r="C17" s="220">
        <v>1482621.24</v>
      </c>
      <c r="D17" s="221"/>
      <c r="E17" s="220">
        <v>1078530.69</v>
      </c>
      <c r="F17" s="221"/>
      <c r="G17" s="220">
        <v>404090.55</v>
      </c>
      <c r="H17" s="251"/>
      <c r="I17" s="17"/>
    </row>
    <row r="18" spans="2:15" x14ac:dyDescent="0.25">
      <c r="B18" s="95" t="s">
        <v>189</v>
      </c>
      <c r="C18" s="220">
        <v>1440580.1374000001</v>
      </c>
      <c r="D18" s="221"/>
      <c r="E18" s="246">
        <v>1096876.1374000001</v>
      </c>
      <c r="F18" s="247"/>
      <c r="G18" s="246">
        <v>343704</v>
      </c>
      <c r="H18" s="252"/>
      <c r="I18" s="17"/>
    </row>
    <row r="19" spans="2:15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5" ht="30.75" customHeight="1" thickBot="1" x14ac:dyDescent="0.3">
      <c r="B20" s="97" t="s">
        <v>297</v>
      </c>
      <c r="C20" s="216">
        <f>E20+G20</f>
        <v>52841.102599999809</v>
      </c>
      <c r="D20" s="217"/>
      <c r="E20" s="248">
        <f>E17+E19-E18</f>
        <v>-7545.4474000001792</v>
      </c>
      <c r="F20" s="254"/>
      <c r="G20" s="248">
        <f>G17-G18</f>
        <v>60386.549999999988</v>
      </c>
      <c r="H20" s="249"/>
      <c r="I20" s="17"/>
    </row>
    <row r="21" spans="2:15" x14ac:dyDescent="0.25">
      <c r="B21" s="14"/>
      <c r="C21" s="79"/>
      <c r="D21" s="91"/>
      <c r="E21" s="208"/>
      <c r="I21" s="17"/>
    </row>
    <row r="22" spans="2:15" ht="24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L22" s="17"/>
      <c r="M22" s="312" t="s">
        <v>301</v>
      </c>
      <c r="N22" s="312" t="s">
        <v>302</v>
      </c>
    </row>
    <row r="23" spans="2:15" ht="32.25" customHeight="1" x14ac:dyDescent="0.25">
      <c r="B23" s="263" t="s">
        <v>196</v>
      </c>
      <c r="C23" s="237" t="s">
        <v>197</v>
      </c>
      <c r="D23" s="237" t="s">
        <v>210</v>
      </c>
      <c r="E23" s="239" t="s">
        <v>325</v>
      </c>
      <c r="F23" s="241" t="s">
        <v>199</v>
      </c>
      <c r="G23" s="242"/>
      <c r="H23" s="243" t="s">
        <v>227</v>
      </c>
      <c r="L23" s="17"/>
      <c r="M23" s="313"/>
      <c r="N23" s="313"/>
    </row>
    <row r="24" spans="2:15" ht="53.25" customHeight="1" thickBot="1" x14ac:dyDescent="0.3">
      <c r="B24" s="264"/>
      <c r="C24" s="238"/>
      <c r="D24" s="238"/>
      <c r="E24" s="240"/>
      <c r="F24" s="19" t="s">
        <v>187</v>
      </c>
      <c r="G24" s="20" t="s">
        <v>188</v>
      </c>
      <c r="H24" s="244"/>
      <c r="M24" s="314">
        <v>225572.16</v>
      </c>
      <c r="N24" s="314">
        <f>M24*1.01</f>
        <v>227827.88159999999</v>
      </c>
    </row>
    <row r="25" spans="2:15" ht="56.25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21122.481413427569</v>
      </c>
      <c r="G25" s="24">
        <f>$N$24/$N$25*E25</f>
        <v>21333.706227561841</v>
      </c>
      <c r="H25" s="25">
        <f>F25-G25</f>
        <v>-211.22481413427158</v>
      </c>
      <c r="I25" s="60"/>
      <c r="J25" s="27"/>
      <c r="K25" s="27"/>
      <c r="L25" s="28"/>
      <c r="M25" s="315">
        <f>E34-E32</f>
        <v>11.319999999999997</v>
      </c>
      <c r="N25" s="315">
        <f>E34-E32</f>
        <v>11.319999999999997</v>
      </c>
      <c r="O25" s="27"/>
    </row>
    <row r="26" spans="2:15" ht="56.25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23712.974416961137</v>
      </c>
      <c r="G26" s="6">
        <f>$N$24/$N$25*E26</f>
        <v>23950.104161130745</v>
      </c>
      <c r="H26" s="25">
        <f t="shared" ref="H26:H31" si="0">F26-G26</f>
        <v>-237.12974416960787</v>
      </c>
      <c r="I26" s="61"/>
      <c r="J26" s="4"/>
      <c r="K26" s="4"/>
      <c r="L26" s="4"/>
      <c r="M26" s="316"/>
      <c r="N26" s="316"/>
      <c r="O26" s="4"/>
    </row>
    <row r="27" spans="2:15" ht="56.25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6376.5981625441718</v>
      </c>
      <c r="G27" s="6">
        <f t="shared" ref="G27:G30" si="2">$N$24/$N$25*E27</f>
        <v>6440.3641441696127</v>
      </c>
      <c r="H27" s="25">
        <f t="shared" si="0"/>
        <v>-63.765981625440872</v>
      </c>
      <c r="I27" s="44"/>
      <c r="L27" s="17"/>
    </row>
    <row r="28" spans="2:15" ht="25.5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1660.5724381625446</v>
      </c>
      <c r="G28" s="6">
        <f>($N$24/12*2)/$N$25*E28</f>
        <v>1677.1781625441702</v>
      </c>
      <c r="H28" s="25">
        <f t="shared" si="0"/>
        <v>-16.605724381625578</v>
      </c>
      <c r="I28" s="44"/>
      <c r="L28" s="17"/>
    </row>
    <row r="29" spans="2:15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23513.705724381631</v>
      </c>
      <c r="G29" s="6">
        <f t="shared" si="2"/>
        <v>23748.842781625444</v>
      </c>
      <c r="H29" s="25">
        <f t="shared" si="0"/>
        <v>-235.13705724381362</v>
      </c>
      <c r="I29" s="44"/>
    </row>
    <row r="30" spans="2:15" ht="219" customHeight="1" x14ac:dyDescent="0.25">
      <c r="B30" s="29" t="s">
        <v>219</v>
      </c>
      <c r="C30" s="32" t="s">
        <v>204</v>
      </c>
      <c r="D30" s="22" t="s">
        <v>201</v>
      </c>
      <c r="E30" s="99">
        <v>5.61</v>
      </c>
      <c r="F30" s="23">
        <f t="shared" si="1"/>
        <v>111789.73653710252</v>
      </c>
      <c r="G30" s="6">
        <f t="shared" si="2"/>
        <v>112907.63390247352</v>
      </c>
      <c r="H30" s="25">
        <f t="shared" si="0"/>
        <v>-1117.8973653709982</v>
      </c>
      <c r="I30" s="61"/>
      <c r="J30" s="4"/>
      <c r="K30" s="4"/>
      <c r="L30" s="3"/>
      <c r="M30" s="316"/>
      <c r="N30" s="316"/>
    </row>
    <row r="31" spans="2:15" ht="121.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3786.1051590106022</v>
      </c>
      <c r="G31" s="6">
        <f t="shared" ref="G31" si="3">$N$24/$N$25*E31</f>
        <v>3823.9662106007077</v>
      </c>
      <c r="H31" s="25">
        <f t="shared" si="0"/>
        <v>-37.86105159010549</v>
      </c>
      <c r="I31" s="44"/>
    </row>
    <row r="32" spans="2:15" ht="56.25" x14ac:dyDescent="0.25">
      <c r="B32" s="30" t="s">
        <v>206</v>
      </c>
      <c r="C32" s="8" t="s">
        <v>223</v>
      </c>
      <c r="D32" s="22" t="s">
        <v>201</v>
      </c>
      <c r="E32" s="99">
        <v>4.03</v>
      </c>
      <c r="F32" s="23">
        <v>85197.36</v>
      </c>
      <c r="G32" s="6">
        <v>2682</v>
      </c>
      <c r="H32" s="25">
        <f>F32-G32</f>
        <v>82515.360000000001</v>
      </c>
      <c r="I32" s="44"/>
      <c r="L32" s="17"/>
    </row>
    <row r="33" spans="2:15" ht="16.5" thickBot="1" x14ac:dyDescent="0.3">
      <c r="B33" s="51" t="s">
        <v>186</v>
      </c>
      <c r="C33" s="52" t="s">
        <v>204</v>
      </c>
      <c r="D33" s="53" t="s">
        <v>201</v>
      </c>
      <c r="E33" s="103">
        <f>0.98+0.29</f>
        <v>1.27</v>
      </c>
      <c r="F33" s="23">
        <f t="shared" si="1"/>
        <v>25307.123957597181</v>
      </c>
      <c r="G33" s="6">
        <f t="shared" ref="G33" si="4">$N$24/$N$25*E33</f>
        <v>25560.195197173151</v>
      </c>
      <c r="H33" s="33">
        <f>F33-G33</f>
        <v>-253.07123957596923</v>
      </c>
      <c r="I33" s="44"/>
    </row>
    <row r="34" spans="2:15" ht="16.5" thickBot="1" x14ac:dyDescent="0.3">
      <c r="B34" s="54" t="s">
        <v>190</v>
      </c>
      <c r="C34" s="55"/>
      <c r="D34" s="55"/>
      <c r="E34" s="101">
        <f>SUM(E25:E33)</f>
        <v>15.349999999999998</v>
      </c>
      <c r="F34" s="56">
        <f>SUM(F25:F33)</f>
        <v>302466.65780918737</v>
      </c>
      <c r="G34" s="57">
        <f>SUM(G25:G33)</f>
        <v>222123.99078727921</v>
      </c>
      <c r="H34" s="38">
        <f>SUM(H25:H33)</f>
        <v>80342.667021908157</v>
      </c>
      <c r="I34" s="44"/>
    </row>
    <row r="35" spans="2:15" x14ac:dyDescent="0.25">
      <c r="B35" s="17"/>
      <c r="C35" s="17"/>
      <c r="D35" s="17"/>
      <c r="E35" s="86"/>
      <c r="F35" s="82"/>
      <c r="G35" s="86"/>
      <c r="H35" s="82"/>
      <c r="O35" s="82"/>
    </row>
    <row r="36" spans="2:15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5" ht="43.5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43"/>
      <c r="M37" s="317"/>
      <c r="N37" s="317"/>
    </row>
    <row r="38" spans="2:15" x14ac:dyDescent="0.25">
      <c r="B38" s="93" t="s">
        <v>15</v>
      </c>
      <c r="C38" s="222">
        <f>E38+G38</f>
        <v>1804100.1978091872</v>
      </c>
      <c r="D38" s="223"/>
      <c r="E38" s="224">
        <f>F25+F26+F27+F28+F29+F30+F31+F33+E16</f>
        <v>1311342.7578091873</v>
      </c>
      <c r="F38" s="225"/>
      <c r="G38" s="224">
        <f>F32+G16</f>
        <v>492757.44</v>
      </c>
      <c r="H38" s="226"/>
      <c r="I38" s="76"/>
      <c r="J38" s="77"/>
      <c r="K38" s="9"/>
      <c r="L38" s="9"/>
      <c r="M38" s="318"/>
    </row>
    <row r="39" spans="2:15" x14ac:dyDescent="0.25">
      <c r="B39" s="94" t="s">
        <v>16</v>
      </c>
      <c r="C39" s="220">
        <f>E39+G39</f>
        <v>1786040.1199999999</v>
      </c>
      <c r="D39" s="221"/>
      <c r="E39" s="220">
        <f>E17+220236.7</f>
        <v>1298767.3899999999</v>
      </c>
      <c r="F39" s="221"/>
      <c r="G39" s="220">
        <f>G17+83182.18</f>
        <v>487272.73</v>
      </c>
      <c r="H39" s="251"/>
      <c r="I39" s="76"/>
      <c r="J39" s="77"/>
      <c r="K39" s="12"/>
      <c r="L39" s="9"/>
      <c r="M39" s="318"/>
    </row>
    <row r="40" spans="2:15" x14ac:dyDescent="0.25">
      <c r="B40" s="95" t="s">
        <v>189</v>
      </c>
      <c r="C40" s="220">
        <f>E40+G40</f>
        <v>1662704.1281872792</v>
      </c>
      <c r="D40" s="221"/>
      <c r="E40" s="246">
        <f>G25+G26+G27+G28+G29+G30+G31+G33+E18</f>
        <v>1316318.1281872792</v>
      </c>
      <c r="F40" s="247"/>
      <c r="G40" s="246">
        <f>G32+G18</f>
        <v>346386</v>
      </c>
      <c r="H40" s="252"/>
      <c r="I40" s="76"/>
      <c r="J40" s="77"/>
      <c r="K40" s="44"/>
      <c r="L40" s="44"/>
    </row>
    <row r="41" spans="2:15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76"/>
      <c r="J41" s="77"/>
      <c r="K41" s="44"/>
      <c r="L41" s="44"/>
    </row>
    <row r="42" spans="2:15" ht="33" customHeight="1" thickBot="1" x14ac:dyDescent="0.3">
      <c r="B42" s="97" t="s">
        <v>298</v>
      </c>
      <c r="C42" s="216">
        <f>E42+G42</f>
        <v>137735.99181272066</v>
      </c>
      <c r="D42" s="217"/>
      <c r="E42" s="248">
        <f>E39+E41-E40</f>
        <v>-3150.7381872793194</v>
      </c>
      <c r="F42" s="254"/>
      <c r="G42" s="248">
        <f>G39-G40</f>
        <v>140886.72999999998</v>
      </c>
      <c r="H42" s="249"/>
      <c r="I42" s="76"/>
      <c r="J42" s="77"/>
      <c r="K42" s="44"/>
      <c r="L42" s="44"/>
    </row>
    <row r="43" spans="2:15" ht="27.7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1"/>
      <c r="G44" s="231"/>
      <c r="H44" s="78"/>
      <c r="I44" s="78"/>
      <c r="J44" s="4"/>
      <c r="K44" s="4"/>
      <c r="L44" s="4"/>
      <c r="M44" s="316"/>
      <c r="N44" s="316"/>
      <c r="O44" s="4"/>
    </row>
    <row r="45" spans="2:15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78"/>
      <c r="I45" s="78"/>
      <c r="J45" s="4"/>
      <c r="K45" s="4"/>
      <c r="L45" s="4"/>
      <c r="M45" s="316"/>
      <c r="N45" s="316"/>
      <c r="O45" s="4"/>
    </row>
    <row r="46" spans="2:15" ht="9.75" customHeight="1" x14ac:dyDescent="0.25">
      <c r="B46" s="205"/>
      <c r="C46" s="205"/>
      <c r="D46" s="205"/>
      <c r="E46" s="209"/>
      <c r="F46" s="230"/>
      <c r="G46" s="230"/>
      <c r="H46" s="78"/>
      <c r="I46" s="78"/>
    </row>
    <row r="47" spans="2:15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10.5" customHeight="1" x14ac:dyDescent="0.25">
      <c r="B48" s="45"/>
      <c r="C48" s="45"/>
      <c r="D48" s="45"/>
      <c r="E48" s="209"/>
      <c r="F48" s="46"/>
      <c r="G48" s="47"/>
      <c r="H48" s="48"/>
      <c r="I48" s="10"/>
    </row>
    <row r="49" spans="2:9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78"/>
      <c r="I49" s="78"/>
    </row>
    <row r="50" spans="2:9" ht="9.75" customHeight="1" x14ac:dyDescent="0.25">
      <c r="E50" s="209"/>
    </row>
  </sheetData>
  <mergeCells count="60">
    <mergeCell ref="G40:H40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C20:D20"/>
    <mergeCell ref="G15:H15"/>
    <mergeCell ref="E16:F16"/>
    <mergeCell ref="F49:G49"/>
    <mergeCell ref="F47:G47"/>
    <mergeCell ref="E41:F41"/>
    <mergeCell ref="G41:H41"/>
    <mergeCell ref="F46:G46"/>
    <mergeCell ref="F44:G44"/>
    <mergeCell ref="E42:F42"/>
    <mergeCell ref="G42:H42"/>
    <mergeCell ref="F45:G45"/>
    <mergeCell ref="F43:G43"/>
    <mergeCell ref="C43:E43"/>
    <mergeCell ref="C45:E45"/>
    <mergeCell ref="C47:E47"/>
    <mergeCell ref="C49:E49"/>
    <mergeCell ref="G16:H16"/>
    <mergeCell ref="E17:F17"/>
    <mergeCell ref="G17:H17"/>
    <mergeCell ref="E20:F20"/>
    <mergeCell ref="G20:H20"/>
    <mergeCell ref="E18:F18"/>
    <mergeCell ref="G18:H18"/>
    <mergeCell ref="E19:F19"/>
    <mergeCell ref="G19:H19"/>
    <mergeCell ref="C15:D15"/>
    <mergeCell ref="C16:D16"/>
    <mergeCell ref="C17:D17"/>
    <mergeCell ref="C18:D18"/>
    <mergeCell ref="C19:D19"/>
    <mergeCell ref="C40:D40"/>
    <mergeCell ref="C41:D41"/>
    <mergeCell ref="C42:D42"/>
    <mergeCell ref="M22:M23"/>
    <mergeCell ref="N22:N23"/>
    <mergeCell ref="C37:D37"/>
    <mergeCell ref="C38:D38"/>
    <mergeCell ref="C39:D39"/>
    <mergeCell ref="B36:H36"/>
    <mergeCell ref="E37:F37"/>
    <mergeCell ref="G37:H37"/>
    <mergeCell ref="E38:F38"/>
    <mergeCell ref="G38:H38"/>
    <mergeCell ref="E39:F39"/>
    <mergeCell ref="G39:H39"/>
    <mergeCell ref="E40:F40"/>
  </mergeCells>
  <printOptions horizontalCentered="1"/>
  <pageMargins left="0.19685039370078741" right="0.19685039370078741" top="0.15748031496062992" bottom="0.27559055118110237" header="0.55118110236220474" footer="0.31496062992125984"/>
  <pageSetup paperSize="9" scale="51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6"/>
  <sheetViews>
    <sheetView topLeftCell="A25" zoomScale="110" zoomScaleNormal="110" workbookViewId="0">
      <selection activeCell="M25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5.85546875" style="5" customWidth="1"/>
    <col min="3" max="3" width="11.42578125" style="82" customWidth="1"/>
    <col min="4" max="4" width="8.85546875" style="82" customWidth="1"/>
    <col min="5" max="5" width="9.7109375" style="82" customWidth="1"/>
    <col min="6" max="6" width="10.42578125" style="82" customWidth="1"/>
    <col min="7" max="7" width="10.42578125" style="5" customWidth="1"/>
    <col min="8" max="8" width="10.7109375" style="82" customWidth="1"/>
    <col min="9" max="9" width="10.7109375" style="5" bestFit="1" customWidth="1"/>
    <col min="10" max="10" width="12.140625" style="5" customWidth="1"/>
    <col min="11" max="11" width="13.85546875" style="5" customWidth="1"/>
    <col min="12" max="12" width="9.140625" style="5"/>
    <col min="13" max="13" width="15.140625" style="310" customWidth="1"/>
    <col min="14" max="14" width="14.85546875" style="310" customWidth="1"/>
    <col min="15" max="16384" width="9.140625" style="5"/>
  </cols>
  <sheetData>
    <row r="1" spans="1:9" x14ac:dyDescent="0.25">
      <c r="B1" s="233" t="s">
        <v>212</v>
      </c>
      <c r="C1" s="233"/>
      <c r="D1" s="233"/>
      <c r="E1" s="233"/>
      <c r="F1" s="233"/>
      <c r="G1" s="233"/>
      <c r="H1" s="233"/>
    </row>
    <row r="2" spans="1:9" x14ac:dyDescent="0.25">
      <c r="B2" s="233" t="s">
        <v>213</v>
      </c>
      <c r="C2" s="233"/>
      <c r="D2" s="233"/>
      <c r="E2" s="233"/>
      <c r="F2" s="233"/>
      <c r="G2" s="233"/>
      <c r="H2" s="233"/>
    </row>
    <row r="3" spans="1:9" x14ac:dyDescent="0.25">
      <c r="B3" s="233" t="s">
        <v>307</v>
      </c>
      <c r="C3" s="233"/>
      <c r="D3" s="233"/>
      <c r="E3" s="233"/>
      <c r="F3" s="233"/>
      <c r="G3" s="233"/>
      <c r="H3" s="233"/>
    </row>
    <row r="4" spans="1:9" x14ac:dyDescent="0.25">
      <c r="B4" s="233" t="s">
        <v>314</v>
      </c>
      <c r="C4" s="233"/>
      <c r="D4" s="233"/>
      <c r="E4" s="233"/>
      <c r="F4" s="233"/>
      <c r="G4" s="233"/>
      <c r="H4" s="233"/>
    </row>
    <row r="5" spans="1:9" ht="21" customHeight="1" x14ac:dyDescent="0.25">
      <c r="A5" s="7"/>
      <c r="B5" s="265" t="s">
        <v>329</v>
      </c>
      <c r="C5" s="265"/>
      <c r="D5" s="265"/>
      <c r="E5" s="265"/>
      <c r="F5" s="265"/>
      <c r="G5" s="265"/>
      <c r="H5" s="265"/>
    </row>
    <row r="6" spans="1:9" ht="15.75" customHeight="1" x14ac:dyDescent="0.25">
      <c r="A6" s="7"/>
      <c r="B6" s="265"/>
      <c r="C6" s="265"/>
      <c r="D6" s="265"/>
      <c r="E6" s="265"/>
      <c r="F6" s="265"/>
      <c r="G6" s="265"/>
      <c r="H6" s="265"/>
    </row>
    <row r="7" spans="1:9" ht="9" customHeight="1" x14ac:dyDescent="0.35">
      <c r="A7" s="7"/>
      <c r="B7" s="114"/>
      <c r="C7" s="114"/>
      <c r="D7" s="114"/>
      <c r="E7" s="114"/>
      <c r="F7" s="114"/>
      <c r="G7" s="114"/>
      <c r="H7" s="114"/>
    </row>
    <row r="8" spans="1:9" x14ac:dyDescent="0.25">
      <c r="B8" s="108" t="s">
        <v>0</v>
      </c>
      <c r="C8" s="118"/>
      <c r="D8" s="261" t="s">
        <v>160</v>
      </c>
      <c r="E8" s="261"/>
    </row>
    <row r="9" spans="1:9" x14ac:dyDescent="0.25">
      <c r="B9" s="108" t="s">
        <v>1</v>
      </c>
      <c r="C9" s="118"/>
      <c r="D9" s="115">
        <v>1988</v>
      </c>
      <c r="E9" s="115"/>
    </row>
    <row r="10" spans="1:9" ht="15.75" hidden="1" customHeight="1" outlineLevel="1" x14ac:dyDescent="0.25">
      <c r="B10" s="108" t="s">
        <v>2</v>
      </c>
      <c r="C10" s="118"/>
      <c r="D10" s="115">
        <v>5</v>
      </c>
      <c r="E10" s="115"/>
    </row>
    <row r="11" spans="1:9" ht="15.75" hidden="1" customHeight="1" outlineLevel="1" x14ac:dyDescent="0.25">
      <c r="B11" s="108" t="s">
        <v>3</v>
      </c>
      <c r="C11" s="118"/>
      <c r="D11" s="115">
        <v>55</v>
      </c>
      <c r="E11" s="115"/>
    </row>
    <row r="12" spans="1:9" ht="31.5" hidden="1" customHeight="1" outlineLevel="1" x14ac:dyDescent="0.25">
      <c r="B12" s="110" t="s">
        <v>4</v>
      </c>
      <c r="C12" s="119"/>
      <c r="D12" s="115" t="s">
        <v>161</v>
      </c>
      <c r="E12" s="115"/>
    </row>
    <row r="13" spans="1:9" collapsed="1" x14ac:dyDescent="0.25">
      <c r="B13" s="108" t="s">
        <v>5</v>
      </c>
      <c r="C13" s="118"/>
      <c r="D13" s="115" t="s">
        <v>278</v>
      </c>
      <c r="E13" s="115"/>
      <c r="I13" s="17"/>
    </row>
    <row r="14" spans="1:9" ht="15.75" hidden="1" customHeight="1" outlineLevel="1" x14ac:dyDescent="0.25">
      <c r="B14" s="108" t="s">
        <v>6</v>
      </c>
      <c r="C14" s="118"/>
      <c r="D14" s="115" t="s">
        <v>13</v>
      </c>
      <c r="E14" s="115"/>
    </row>
    <row r="15" spans="1:9" ht="31.5" hidden="1" customHeight="1" outlineLevel="1" x14ac:dyDescent="0.25">
      <c r="B15" s="110" t="s">
        <v>7</v>
      </c>
      <c r="C15" s="119"/>
      <c r="D15" s="120" t="s">
        <v>162</v>
      </c>
      <c r="E15" s="115"/>
      <c r="I15" s="17"/>
    </row>
    <row r="16" spans="1:9" ht="8.25" customHeight="1" collapsed="1" x14ac:dyDescent="0.25">
      <c r="B16" s="110"/>
      <c r="C16" s="119"/>
      <c r="D16" s="120"/>
      <c r="E16" s="115"/>
      <c r="I16" s="17"/>
    </row>
    <row r="17" spans="2:14" ht="16.5" thickBot="1" x14ac:dyDescent="0.3">
      <c r="B17" s="260" t="s">
        <v>313</v>
      </c>
      <c r="C17" s="260"/>
      <c r="D17" s="260"/>
      <c r="E17" s="260"/>
      <c r="F17" s="260"/>
      <c r="G17" s="260"/>
      <c r="H17" s="260"/>
      <c r="I17" s="17"/>
    </row>
    <row r="18" spans="2:14" ht="48.75" customHeight="1" thickBot="1" x14ac:dyDescent="0.3">
      <c r="B18" s="92" t="s">
        <v>311</v>
      </c>
      <c r="C18" s="266" t="s">
        <v>207</v>
      </c>
      <c r="D18" s="267"/>
      <c r="E18" s="257" t="s">
        <v>8</v>
      </c>
      <c r="F18" s="258"/>
      <c r="G18" s="257" t="s">
        <v>9</v>
      </c>
      <c r="H18" s="259"/>
      <c r="I18" s="17"/>
    </row>
    <row r="19" spans="2:14" x14ac:dyDescent="0.25">
      <c r="B19" s="93" t="s">
        <v>15</v>
      </c>
      <c r="C19" s="222">
        <v>2029645.8599999999</v>
      </c>
      <c r="D19" s="253"/>
      <c r="E19" s="224">
        <v>1483086.67</v>
      </c>
      <c r="F19" s="225"/>
      <c r="G19" s="224">
        <v>546559.19000000006</v>
      </c>
      <c r="H19" s="226"/>
      <c r="I19" s="17"/>
    </row>
    <row r="20" spans="2:14" x14ac:dyDescent="0.25">
      <c r="B20" s="94" t="s">
        <v>16</v>
      </c>
      <c r="C20" s="220">
        <v>1819721.8099999998</v>
      </c>
      <c r="D20" s="268"/>
      <c r="E20" s="220">
        <v>1337080.3699999999</v>
      </c>
      <c r="F20" s="221"/>
      <c r="G20" s="220">
        <v>482641.43999999994</v>
      </c>
      <c r="H20" s="251"/>
      <c r="I20" s="17"/>
    </row>
    <row r="21" spans="2:14" x14ac:dyDescent="0.25">
      <c r="B21" s="95" t="s">
        <v>189</v>
      </c>
      <c r="C21" s="220">
        <v>2089578.2709000001</v>
      </c>
      <c r="D21" s="268"/>
      <c r="E21" s="246">
        <v>1465546.2709000001</v>
      </c>
      <c r="F21" s="247"/>
      <c r="G21" s="246">
        <v>624032</v>
      </c>
      <c r="H21" s="252"/>
      <c r="I21" s="17"/>
    </row>
    <row r="22" spans="2:14" ht="16.5" thickBot="1" x14ac:dyDescent="0.3">
      <c r="B22" s="96" t="s">
        <v>226</v>
      </c>
      <c r="C22" s="220">
        <v>10800</v>
      </c>
      <c r="D22" s="268"/>
      <c r="E22" s="227">
        <v>10800</v>
      </c>
      <c r="F22" s="228"/>
      <c r="G22" s="227">
        <v>0</v>
      </c>
      <c r="H22" s="250"/>
      <c r="I22" s="17"/>
    </row>
    <row r="23" spans="2:14" ht="36.75" thickBot="1" x14ac:dyDescent="0.3">
      <c r="B23" s="97" t="s">
        <v>297</v>
      </c>
      <c r="C23" s="216">
        <f>E23+G23</f>
        <v>-259056.4609000003</v>
      </c>
      <c r="D23" s="217"/>
      <c r="E23" s="248">
        <f>E20+E22-E21</f>
        <v>-117665.90090000024</v>
      </c>
      <c r="F23" s="254"/>
      <c r="G23" s="248">
        <f>G20-G21</f>
        <v>-141390.56000000006</v>
      </c>
      <c r="H23" s="249"/>
      <c r="I23" s="17"/>
    </row>
    <row r="24" spans="2:14" x14ac:dyDescent="0.25">
      <c r="B24" s="14"/>
      <c r="C24" s="79"/>
      <c r="D24" s="91"/>
      <c r="E24" s="113"/>
      <c r="I24" s="17"/>
    </row>
    <row r="25" spans="2:14" ht="31.5" customHeight="1" thickBot="1" x14ac:dyDescent="0.3">
      <c r="B25" s="262" t="s">
        <v>324</v>
      </c>
      <c r="C25" s="262"/>
      <c r="D25" s="262"/>
      <c r="E25" s="262"/>
      <c r="F25" s="262"/>
      <c r="G25" s="262"/>
      <c r="H25" s="262"/>
      <c r="L25" s="17"/>
      <c r="M25" s="312" t="s">
        <v>301</v>
      </c>
      <c r="N25" s="312" t="s">
        <v>302</v>
      </c>
    </row>
    <row r="26" spans="2:14" ht="39.75" customHeight="1" x14ac:dyDescent="0.25">
      <c r="B26" s="235" t="s">
        <v>196</v>
      </c>
      <c r="C26" s="237" t="s">
        <v>197</v>
      </c>
      <c r="D26" s="237" t="s">
        <v>198</v>
      </c>
      <c r="E26" s="239" t="s">
        <v>325</v>
      </c>
      <c r="F26" s="241" t="s">
        <v>199</v>
      </c>
      <c r="G26" s="242"/>
      <c r="H26" s="243" t="s">
        <v>227</v>
      </c>
      <c r="L26" s="17"/>
      <c r="M26" s="313"/>
      <c r="N26" s="313"/>
    </row>
    <row r="27" spans="2:14" ht="39" customHeight="1" thickBot="1" x14ac:dyDescent="0.3">
      <c r="B27" s="236"/>
      <c r="C27" s="238"/>
      <c r="D27" s="238"/>
      <c r="E27" s="240"/>
      <c r="F27" s="19" t="s">
        <v>187</v>
      </c>
      <c r="G27" s="20" t="s">
        <v>188</v>
      </c>
      <c r="H27" s="244"/>
      <c r="M27" s="314">
        <v>245003.22</v>
      </c>
      <c r="N27" s="314">
        <f>M27*1.01</f>
        <v>247453.25220000002</v>
      </c>
    </row>
    <row r="28" spans="2:14" ht="49.5" customHeight="1" x14ac:dyDescent="0.25">
      <c r="B28" s="21" t="s">
        <v>191</v>
      </c>
      <c r="C28" s="32" t="s">
        <v>200</v>
      </c>
      <c r="D28" s="22" t="s">
        <v>201</v>
      </c>
      <c r="E28" s="98">
        <v>1.06</v>
      </c>
      <c r="F28" s="23">
        <f>$M$27/$M$28*E28</f>
        <v>22901.535555555558</v>
      </c>
      <c r="G28" s="24">
        <f>$N$27/$N$28*E28</f>
        <v>23130.550911111113</v>
      </c>
      <c r="H28" s="25">
        <f>F28-G28</f>
        <v>-229.01535555555529</v>
      </c>
      <c r="I28" s="60"/>
      <c r="J28" s="27"/>
      <c r="K28" s="27"/>
      <c r="L28" s="28"/>
      <c r="M28" s="315">
        <f>E37-E35</f>
        <v>11.34</v>
      </c>
      <c r="N28" s="315">
        <f>E37-E35</f>
        <v>11.34</v>
      </c>
    </row>
    <row r="29" spans="2:14" ht="51" x14ac:dyDescent="0.25">
      <c r="B29" s="29" t="s">
        <v>202</v>
      </c>
      <c r="C29" s="32" t="s">
        <v>200</v>
      </c>
      <c r="D29" s="22" t="s">
        <v>201</v>
      </c>
      <c r="E29" s="99">
        <v>1.19</v>
      </c>
      <c r="F29" s="23">
        <f>$M$27/$M$28*E29</f>
        <v>25710.214444444442</v>
      </c>
      <c r="G29" s="24">
        <f>$N$27/$N$28*E29</f>
        <v>25967.316588888891</v>
      </c>
      <c r="H29" s="25">
        <f t="shared" ref="H29:H34" si="0">F29-G29</f>
        <v>-257.10214444444864</v>
      </c>
      <c r="I29" s="61"/>
      <c r="J29" s="4"/>
      <c r="K29" s="4"/>
      <c r="L29" s="4"/>
      <c r="M29" s="316"/>
      <c r="N29" s="316"/>
    </row>
    <row r="30" spans="2:14" ht="51.75" customHeight="1" x14ac:dyDescent="0.25">
      <c r="B30" s="30" t="s">
        <v>184</v>
      </c>
      <c r="C30" s="32" t="s">
        <v>200</v>
      </c>
      <c r="D30" s="22" t="s">
        <v>201</v>
      </c>
      <c r="E30" s="99">
        <v>0.32</v>
      </c>
      <c r="F30" s="23">
        <f t="shared" ref="F30:F36" si="1">$M$27/$M$28*E30</f>
        <v>6913.6711111111117</v>
      </c>
      <c r="G30" s="24">
        <f t="shared" ref="G30:G33" si="2">$N$27/$N$28*E30</f>
        <v>6982.807822222223</v>
      </c>
      <c r="H30" s="25">
        <f t="shared" si="0"/>
        <v>-69.136711111111254</v>
      </c>
      <c r="I30" s="44"/>
      <c r="L30" s="17"/>
    </row>
    <row r="31" spans="2:14" ht="25.5" x14ac:dyDescent="0.25">
      <c r="B31" s="30" t="s">
        <v>185</v>
      </c>
      <c r="C31" s="31" t="s">
        <v>203</v>
      </c>
      <c r="D31" s="22" t="s">
        <v>201</v>
      </c>
      <c r="E31" s="99">
        <v>0.2</v>
      </c>
      <c r="F31" s="23">
        <f t="shared" si="1"/>
        <v>4321.0444444444447</v>
      </c>
      <c r="G31" s="24">
        <f t="shared" si="2"/>
        <v>4364.2548888888896</v>
      </c>
      <c r="H31" s="25">
        <f t="shared" si="0"/>
        <v>-43.210444444444875</v>
      </c>
      <c r="I31" s="44"/>
      <c r="L31" s="17"/>
    </row>
    <row r="32" spans="2:14" ht="51" x14ac:dyDescent="0.25">
      <c r="B32" s="29" t="s">
        <v>192</v>
      </c>
      <c r="C32" s="32" t="s">
        <v>200</v>
      </c>
      <c r="D32" s="22" t="s">
        <v>201</v>
      </c>
      <c r="E32" s="99">
        <v>1.18</v>
      </c>
      <c r="F32" s="23">
        <f t="shared" si="1"/>
        <v>25494.162222222221</v>
      </c>
      <c r="G32" s="24">
        <f t="shared" si="2"/>
        <v>25749.103844444446</v>
      </c>
      <c r="H32" s="25">
        <f t="shared" si="0"/>
        <v>-254.9416222222244</v>
      </c>
      <c r="I32" s="44"/>
    </row>
    <row r="33" spans="2:14" ht="213" customHeight="1" x14ac:dyDescent="0.25">
      <c r="B33" s="29" t="s">
        <v>219</v>
      </c>
      <c r="C33" s="32" t="s">
        <v>204</v>
      </c>
      <c r="D33" s="22" t="s">
        <v>201</v>
      </c>
      <c r="E33" s="99">
        <v>5.61</v>
      </c>
      <c r="F33" s="23">
        <f t="shared" si="1"/>
        <v>121205.29666666668</v>
      </c>
      <c r="G33" s="24">
        <f t="shared" si="2"/>
        <v>122417.34963333336</v>
      </c>
      <c r="H33" s="25">
        <f t="shared" si="0"/>
        <v>-1212.0529666666844</v>
      </c>
      <c r="I33" s="61"/>
      <c r="J33" s="4"/>
      <c r="K33" s="4"/>
      <c r="L33" s="3"/>
      <c r="M33" s="316"/>
      <c r="N33" s="316"/>
    </row>
    <row r="34" spans="2:14" ht="102" x14ac:dyDescent="0.25">
      <c r="B34" s="29" t="s">
        <v>205</v>
      </c>
      <c r="C34" s="32" t="s">
        <v>200</v>
      </c>
      <c r="D34" s="22" t="s">
        <v>201</v>
      </c>
      <c r="E34" s="99">
        <v>0.24</v>
      </c>
      <c r="F34" s="23">
        <f t="shared" si="1"/>
        <v>5185.2533333333331</v>
      </c>
      <c r="G34" s="24">
        <f t="shared" ref="G34" si="3">$N$27/$N$28*E34</f>
        <v>5237.1058666666668</v>
      </c>
      <c r="H34" s="25">
        <f t="shared" si="0"/>
        <v>-51.852533333333668</v>
      </c>
      <c r="I34" s="44"/>
    </row>
    <row r="35" spans="2:14" ht="56.25" customHeight="1" x14ac:dyDescent="0.25">
      <c r="B35" s="30" t="s">
        <v>206</v>
      </c>
      <c r="C35" s="32" t="s">
        <v>200</v>
      </c>
      <c r="D35" s="22" t="s">
        <v>201</v>
      </c>
      <c r="E35" s="99">
        <v>4.93</v>
      </c>
      <c r="F35" s="23">
        <v>106513.74</v>
      </c>
      <c r="G35" s="6">
        <v>22891</v>
      </c>
      <c r="H35" s="25">
        <f>F35-G35</f>
        <v>83622.740000000005</v>
      </c>
      <c r="I35" s="44"/>
      <c r="L35" s="17"/>
    </row>
    <row r="36" spans="2:14" ht="16.5" thickBot="1" x14ac:dyDescent="0.3">
      <c r="B36" s="51" t="s">
        <v>186</v>
      </c>
      <c r="C36" s="52" t="s">
        <v>204</v>
      </c>
      <c r="D36" s="53" t="s">
        <v>201</v>
      </c>
      <c r="E36" s="103">
        <v>1.54</v>
      </c>
      <c r="F36" s="23">
        <f t="shared" si="1"/>
        <v>33272.042222222226</v>
      </c>
      <c r="G36" s="24">
        <f t="shared" ref="G36" si="4">$N$27/$N$28*E36</f>
        <v>33604.762644444447</v>
      </c>
      <c r="H36" s="33">
        <f>F36-G36</f>
        <v>-332.7204222222208</v>
      </c>
      <c r="I36" s="44"/>
    </row>
    <row r="37" spans="2:14" ht="16.5" thickBot="1" x14ac:dyDescent="0.3">
      <c r="B37" s="54" t="s">
        <v>190</v>
      </c>
      <c r="C37" s="55"/>
      <c r="D37" s="55"/>
      <c r="E37" s="101">
        <f>SUM(E28:E36)</f>
        <v>16.27</v>
      </c>
      <c r="F37" s="56">
        <f>SUM(F28:F36)</f>
        <v>351516.96000000008</v>
      </c>
      <c r="G37" s="57">
        <f>SUM(G28:G36)</f>
        <v>270344.25220000005</v>
      </c>
      <c r="H37" s="38">
        <f>SUM(H28:H36)</f>
        <v>81172.707799999975</v>
      </c>
      <c r="I37" s="44"/>
    </row>
    <row r="38" spans="2:14" x14ac:dyDescent="0.25">
      <c r="B38" s="17"/>
      <c r="C38" s="17"/>
      <c r="D38" s="17"/>
      <c r="E38" s="86"/>
      <c r="F38" s="86"/>
      <c r="G38" s="86"/>
    </row>
    <row r="39" spans="2:14" ht="16.5" customHeight="1" thickBot="1" x14ac:dyDescent="0.3">
      <c r="B39" s="260" t="s">
        <v>326</v>
      </c>
      <c r="C39" s="260"/>
      <c r="D39" s="260"/>
      <c r="E39" s="260"/>
      <c r="F39" s="260"/>
      <c r="G39" s="260"/>
      <c r="H39" s="260"/>
      <c r="I39" s="73"/>
      <c r="J39" s="73"/>
    </row>
    <row r="40" spans="2:14" ht="48" customHeight="1" thickBot="1" x14ac:dyDescent="0.3">
      <c r="B40" s="92" t="s">
        <v>327</v>
      </c>
      <c r="C40" s="266" t="s">
        <v>207</v>
      </c>
      <c r="D40" s="267"/>
      <c r="E40" s="257" t="s">
        <v>8</v>
      </c>
      <c r="F40" s="258"/>
      <c r="G40" s="257" t="s">
        <v>9</v>
      </c>
      <c r="H40" s="259"/>
      <c r="I40" s="74"/>
      <c r="J40" s="75"/>
      <c r="K40" s="42"/>
      <c r="L40" s="43"/>
      <c r="M40" s="317"/>
      <c r="N40" s="317"/>
    </row>
    <row r="41" spans="2:14" x14ac:dyDescent="0.25">
      <c r="B41" s="93" t="s">
        <v>15</v>
      </c>
      <c r="C41" s="222">
        <f>E41+G41</f>
        <v>2381162.8199999998</v>
      </c>
      <c r="D41" s="223"/>
      <c r="E41" s="224">
        <f>F28+F29+F30+F31+F32+F33+F34+F36+E19</f>
        <v>1728089.89</v>
      </c>
      <c r="F41" s="225"/>
      <c r="G41" s="224">
        <f>F35+G19</f>
        <v>653072.93000000005</v>
      </c>
      <c r="H41" s="226"/>
      <c r="I41" s="76"/>
      <c r="J41" s="77"/>
      <c r="K41" s="9"/>
      <c r="L41" s="9"/>
      <c r="M41" s="318"/>
    </row>
    <row r="42" spans="2:14" x14ac:dyDescent="0.25">
      <c r="B42" s="94" t="s">
        <v>16</v>
      </c>
      <c r="C42" s="220">
        <f>E42+G42</f>
        <v>2105020.69</v>
      </c>
      <c r="D42" s="221"/>
      <c r="E42" s="220">
        <f>E20+198849.99</f>
        <v>1535930.3599999999</v>
      </c>
      <c r="F42" s="221"/>
      <c r="G42" s="220">
        <f>G20+86448.89</f>
        <v>569090.32999999996</v>
      </c>
      <c r="H42" s="251"/>
      <c r="I42" s="76"/>
      <c r="J42" s="77"/>
      <c r="K42" s="12"/>
      <c r="L42" s="9"/>
      <c r="M42" s="318"/>
    </row>
    <row r="43" spans="2:14" x14ac:dyDescent="0.25">
      <c r="B43" s="95" t="s">
        <v>189</v>
      </c>
      <c r="C43" s="220">
        <f>E43+G43</f>
        <v>2359922.5230999999</v>
      </c>
      <c r="D43" s="221"/>
      <c r="E43" s="246">
        <f>G28+G29+G30+G31+G32+G33+G34+G36+E21</f>
        <v>1712999.5231000001</v>
      </c>
      <c r="F43" s="247"/>
      <c r="G43" s="246">
        <f>G35+G21</f>
        <v>646923</v>
      </c>
      <c r="H43" s="252"/>
      <c r="I43" s="76"/>
      <c r="J43" s="77"/>
      <c r="K43" s="44"/>
      <c r="L43" s="44"/>
    </row>
    <row r="44" spans="2:14" ht="16.5" thickBot="1" x14ac:dyDescent="0.3">
      <c r="B44" s="96" t="s">
        <v>226</v>
      </c>
      <c r="C44" s="227">
        <f>E44+G44</f>
        <v>14400</v>
      </c>
      <c r="D44" s="228"/>
      <c r="E44" s="227">
        <f>E22+3600</f>
        <v>14400</v>
      </c>
      <c r="F44" s="228"/>
      <c r="G44" s="227">
        <f>G22</f>
        <v>0</v>
      </c>
      <c r="H44" s="250"/>
      <c r="I44" s="76"/>
      <c r="J44" s="77"/>
      <c r="K44" s="44"/>
      <c r="L44" s="44"/>
    </row>
    <row r="45" spans="2:14" ht="33.75" customHeight="1" thickBot="1" x14ac:dyDescent="0.3">
      <c r="B45" s="97" t="s">
        <v>298</v>
      </c>
      <c r="C45" s="216">
        <f>E45+G45</f>
        <v>-240501.83310000028</v>
      </c>
      <c r="D45" s="217"/>
      <c r="E45" s="248">
        <f>E42+E44-E43</f>
        <v>-162669.16310000024</v>
      </c>
      <c r="F45" s="254"/>
      <c r="G45" s="248">
        <f>G42-G43</f>
        <v>-77832.670000000042</v>
      </c>
      <c r="H45" s="249"/>
      <c r="I45" s="76"/>
      <c r="J45" s="77"/>
      <c r="K45" s="44"/>
      <c r="L45" s="44"/>
    </row>
    <row r="46" spans="2:14" ht="29.25" customHeight="1" x14ac:dyDescent="0.25">
      <c r="B46" s="141" t="s">
        <v>180</v>
      </c>
      <c r="C46" s="232" t="s">
        <v>308</v>
      </c>
      <c r="D46" s="232"/>
      <c r="E46" s="232"/>
      <c r="F46" s="230" t="s">
        <v>10</v>
      </c>
      <c r="G46" s="230"/>
      <c r="H46" s="78"/>
      <c r="I46" s="78"/>
      <c r="J46" s="4"/>
      <c r="K46" s="4"/>
      <c r="L46" s="4"/>
      <c r="M46" s="316"/>
      <c r="N46" s="316"/>
    </row>
    <row r="47" spans="2:14" ht="9.75" customHeight="1" x14ac:dyDescent="0.25">
      <c r="B47" s="141"/>
      <c r="C47" s="141"/>
      <c r="D47" s="141"/>
      <c r="E47" s="140"/>
      <c r="F47" s="231"/>
      <c r="G47" s="231"/>
      <c r="H47" s="78"/>
      <c r="I47" s="78"/>
      <c r="J47" s="4"/>
      <c r="K47" s="4"/>
      <c r="L47" s="4"/>
      <c r="M47" s="316"/>
      <c r="N47" s="316"/>
    </row>
    <row r="48" spans="2:14" x14ac:dyDescent="0.25">
      <c r="B48" s="141" t="s">
        <v>181</v>
      </c>
      <c r="C48" s="232" t="s">
        <v>308</v>
      </c>
      <c r="D48" s="232"/>
      <c r="E48" s="232"/>
      <c r="F48" s="230" t="s">
        <v>208</v>
      </c>
      <c r="G48" s="230"/>
      <c r="H48" s="78"/>
      <c r="I48" s="78"/>
      <c r="J48" s="4"/>
      <c r="K48" s="4"/>
      <c r="L48" s="4"/>
      <c r="M48" s="316"/>
      <c r="N48" s="316"/>
    </row>
    <row r="49" spans="2:9" ht="10.5" customHeight="1" x14ac:dyDescent="0.25">
      <c r="B49" s="141"/>
      <c r="C49" s="141"/>
      <c r="D49" s="141"/>
      <c r="E49" s="140"/>
      <c r="F49" s="230"/>
      <c r="G49" s="230"/>
      <c r="H49" s="78"/>
      <c r="I49" s="78"/>
    </row>
    <row r="50" spans="2:9" x14ac:dyDescent="0.25">
      <c r="B50" s="141" t="s">
        <v>182</v>
      </c>
      <c r="C50" s="232" t="s">
        <v>308</v>
      </c>
      <c r="D50" s="232"/>
      <c r="E50" s="232"/>
      <c r="F50" s="230" t="s">
        <v>209</v>
      </c>
      <c r="G50" s="230"/>
      <c r="H50" s="78"/>
      <c r="I50" s="78"/>
    </row>
    <row r="51" spans="2:9" ht="9.75" customHeight="1" x14ac:dyDescent="0.25">
      <c r="B51" s="45"/>
      <c r="C51" s="45"/>
      <c r="D51" s="45"/>
      <c r="E51" s="140"/>
      <c r="F51" s="46"/>
      <c r="G51" s="47"/>
      <c r="H51" s="46"/>
      <c r="I51" s="47"/>
    </row>
    <row r="52" spans="2:9" x14ac:dyDescent="0.25">
      <c r="B52" s="141" t="s">
        <v>183</v>
      </c>
      <c r="C52" s="232" t="s">
        <v>308</v>
      </c>
      <c r="D52" s="232"/>
      <c r="E52" s="232"/>
      <c r="F52" s="230" t="s">
        <v>209</v>
      </c>
      <c r="G52" s="230"/>
      <c r="H52" s="78"/>
      <c r="I52" s="78"/>
    </row>
    <row r="53" spans="2:9" ht="9.75" customHeight="1" x14ac:dyDescent="0.25">
      <c r="B53" s="49"/>
      <c r="C53" s="49"/>
      <c r="D53" s="49"/>
      <c r="E53" s="140"/>
      <c r="F53" s="229"/>
      <c r="G53" s="229"/>
      <c r="H53" s="88"/>
      <c r="I53" s="88"/>
    </row>
    <row r="54" spans="2:9" x14ac:dyDescent="0.25">
      <c r="B54" s="49"/>
      <c r="C54" s="49"/>
      <c r="D54" s="87"/>
      <c r="E54" s="87"/>
      <c r="F54" s="88"/>
      <c r="G54" s="88"/>
      <c r="H54" s="49"/>
      <c r="I54" s="49"/>
    </row>
    <row r="55" spans="2:9" x14ac:dyDescent="0.25">
      <c r="C55" s="5"/>
      <c r="D55" s="5"/>
      <c r="E55" s="5"/>
      <c r="F55" s="5"/>
      <c r="H55" s="5"/>
    </row>
    <row r="56" spans="2:9" x14ac:dyDescent="0.25">
      <c r="C56" s="63"/>
      <c r="F56" s="5"/>
      <c r="H56" s="5"/>
    </row>
  </sheetData>
  <mergeCells count="64">
    <mergeCell ref="B17:H17"/>
    <mergeCell ref="E18:F18"/>
    <mergeCell ref="G18:H18"/>
    <mergeCell ref="G41:H41"/>
    <mergeCell ref="D8:E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D26:D27"/>
    <mergeCell ref="B1:H1"/>
    <mergeCell ref="F47:G47"/>
    <mergeCell ref="E42:F42"/>
    <mergeCell ref="G42:H42"/>
    <mergeCell ref="E43:F43"/>
    <mergeCell ref="G43:H43"/>
    <mergeCell ref="G40:H40"/>
    <mergeCell ref="E41:F41"/>
    <mergeCell ref="B5:H6"/>
    <mergeCell ref="B2:H2"/>
    <mergeCell ref="B3:H3"/>
    <mergeCell ref="B4:H4"/>
    <mergeCell ref="E40:F40"/>
    <mergeCell ref="B25:H25"/>
    <mergeCell ref="B26:B27"/>
    <mergeCell ref="C26:C27"/>
    <mergeCell ref="F53:G53"/>
    <mergeCell ref="F50:G50"/>
    <mergeCell ref="F52:G52"/>
    <mergeCell ref="F26:G26"/>
    <mergeCell ref="H26:H27"/>
    <mergeCell ref="E44:F44"/>
    <mergeCell ref="G44:H44"/>
    <mergeCell ref="F49:G49"/>
    <mergeCell ref="B39:H39"/>
    <mergeCell ref="F48:G48"/>
    <mergeCell ref="E45:F45"/>
    <mergeCell ref="G45:H45"/>
    <mergeCell ref="F46:G46"/>
    <mergeCell ref="C42:D42"/>
    <mergeCell ref="C43:D43"/>
    <mergeCell ref="C44:D44"/>
    <mergeCell ref="C18:D18"/>
    <mergeCell ref="C19:D19"/>
    <mergeCell ref="C20:D20"/>
    <mergeCell ref="C21:D21"/>
    <mergeCell ref="C22:D22"/>
    <mergeCell ref="C23:D23"/>
    <mergeCell ref="M25:M26"/>
    <mergeCell ref="N25:N26"/>
    <mergeCell ref="C40:D40"/>
    <mergeCell ref="C41:D41"/>
    <mergeCell ref="E26:E27"/>
    <mergeCell ref="C46:E46"/>
    <mergeCell ref="C48:E48"/>
    <mergeCell ref="C50:E50"/>
    <mergeCell ref="C52:E52"/>
    <mergeCell ref="C45:D45"/>
  </mergeCells>
  <printOptions horizontalCentered="1"/>
  <pageMargins left="0.19685039370078741" right="0.19685039370078741" top="0.15748031496062992" bottom="0.23622047244094491" header="0.31496062992125984" footer="0.23622047244094491"/>
  <pageSetup paperSize="9" scale="5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1"/>
  <sheetViews>
    <sheetView topLeftCell="A16" zoomScale="110" zoomScaleNormal="110" workbookViewId="0">
      <selection activeCell="M16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5.5703125" style="5" customWidth="1"/>
    <col min="3" max="3" width="21.85546875" style="82" customWidth="1"/>
    <col min="4" max="4" width="8.42578125" style="82" customWidth="1"/>
    <col min="5" max="5" width="10.28515625" style="82" customWidth="1"/>
    <col min="6" max="6" width="10" style="5" customWidth="1"/>
    <col min="7" max="7" width="10.42578125" style="5" customWidth="1"/>
    <col min="8" max="8" width="10.85546875" style="5" customWidth="1"/>
    <col min="9" max="9" width="12.85546875" style="5" customWidth="1"/>
    <col min="10" max="12" width="9.140625" style="5"/>
    <col min="13" max="13" width="14.5703125" style="310" customWidth="1"/>
    <col min="14" max="14" width="14.855468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3.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163</v>
      </c>
      <c r="E5" s="234"/>
    </row>
    <row r="6" spans="1:9" x14ac:dyDescent="0.25">
      <c r="B6" s="10" t="s">
        <v>1</v>
      </c>
      <c r="C6" s="48"/>
      <c r="D6" s="207">
        <v>2007</v>
      </c>
      <c r="E6" s="207"/>
    </row>
    <row r="7" spans="1:9" ht="18" hidden="1" customHeight="1" outlineLevel="1" x14ac:dyDescent="0.25">
      <c r="B7" s="10" t="s">
        <v>2</v>
      </c>
      <c r="C7" s="48"/>
      <c r="D7" s="207">
        <v>3</v>
      </c>
      <c r="E7" s="207"/>
    </row>
    <row r="8" spans="1:9" hidden="1" outlineLevel="1" x14ac:dyDescent="0.25">
      <c r="B8" s="10" t="s">
        <v>3</v>
      </c>
      <c r="C8" s="48"/>
      <c r="D8" s="207">
        <v>24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164</v>
      </c>
      <c r="E9" s="207"/>
    </row>
    <row r="10" spans="1:9" collapsed="1" x14ac:dyDescent="0.25">
      <c r="B10" s="10" t="s">
        <v>5</v>
      </c>
      <c r="C10" s="48"/>
      <c r="D10" s="207" t="s">
        <v>279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153</v>
      </c>
      <c r="E12" s="208"/>
      <c r="I12" s="17"/>
    </row>
    <row r="13" spans="1:9" ht="8.2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2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947195.53</v>
      </c>
      <c r="D16" s="253"/>
      <c r="E16" s="224">
        <v>896906.48</v>
      </c>
      <c r="F16" s="225"/>
      <c r="G16" s="224">
        <v>50289.05</v>
      </c>
      <c r="H16" s="226"/>
      <c r="I16" s="17"/>
    </row>
    <row r="17" spans="2:14" x14ac:dyDescent="0.25">
      <c r="B17" s="94" t="s">
        <v>16</v>
      </c>
      <c r="C17" s="220">
        <v>923681.01</v>
      </c>
      <c r="D17" s="221"/>
      <c r="E17" s="220">
        <v>873904.88</v>
      </c>
      <c r="F17" s="221"/>
      <c r="G17" s="220">
        <v>49776.13</v>
      </c>
      <c r="H17" s="251"/>
      <c r="I17" s="17"/>
    </row>
    <row r="18" spans="2:14" x14ac:dyDescent="0.25">
      <c r="B18" s="95" t="s">
        <v>189</v>
      </c>
      <c r="C18" s="220">
        <v>1006875.8219000001</v>
      </c>
      <c r="D18" s="221"/>
      <c r="E18" s="246">
        <v>906937.8219000001</v>
      </c>
      <c r="F18" s="247"/>
      <c r="G18" s="246">
        <v>99938</v>
      </c>
      <c r="H18" s="252"/>
      <c r="I18" s="17"/>
    </row>
    <row r="19" spans="2:14" ht="16.5" thickBot="1" x14ac:dyDescent="0.3">
      <c r="B19" s="96" t="s">
        <v>226</v>
      </c>
      <c r="C19" s="220">
        <v>10800</v>
      </c>
      <c r="D19" s="221"/>
      <c r="E19" s="227">
        <v>10800</v>
      </c>
      <c r="F19" s="228"/>
      <c r="G19" s="227">
        <v>0</v>
      </c>
      <c r="H19" s="250"/>
      <c r="I19" s="17"/>
    </row>
    <row r="20" spans="2:14" ht="36.75" thickBot="1" x14ac:dyDescent="0.3">
      <c r="B20" s="97" t="s">
        <v>297</v>
      </c>
      <c r="C20" s="216">
        <f>E20+G20</f>
        <v>-72394.811900000088</v>
      </c>
      <c r="D20" s="217"/>
      <c r="E20" s="248">
        <f>E17+E19-E18</f>
        <v>-22232.941900000093</v>
      </c>
      <c r="F20" s="254"/>
      <c r="G20" s="248">
        <f>G17-G18</f>
        <v>-50161.87</v>
      </c>
      <c r="H20" s="249"/>
      <c r="I20" s="17"/>
    </row>
    <row r="21" spans="2:14" x14ac:dyDescent="0.25">
      <c r="B21" s="14"/>
      <c r="C21" s="79"/>
      <c r="D21" s="91"/>
      <c r="E21" s="208"/>
      <c r="I21" s="17"/>
    </row>
    <row r="22" spans="2:14" ht="17.2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L22" s="17"/>
      <c r="M22" s="312" t="s">
        <v>301</v>
      </c>
      <c r="N22" s="312" t="s">
        <v>302</v>
      </c>
    </row>
    <row r="23" spans="2:14" ht="39.75" customHeight="1" x14ac:dyDescent="0.25">
      <c r="B23" s="235" t="s">
        <v>196</v>
      </c>
      <c r="C23" s="237" t="s">
        <v>197</v>
      </c>
      <c r="D23" s="237" t="s">
        <v>198</v>
      </c>
      <c r="E23" s="239" t="s">
        <v>325</v>
      </c>
      <c r="F23" s="241" t="s">
        <v>199</v>
      </c>
      <c r="G23" s="242"/>
      <c r="H23" s="243" t="s">
        <v>227</v>
      </c>
      <c r="L23" s="17"/>
      <c r="M23" s="313"/>
      <c r="N23" s="313"/>
    </row>
    <row r="24" spans="2:14" ht="39" customHeight="1" thickBot="1" x14ac:dyDescent="0.3">
      <c r="B24" s="236"/>
      <c r="C24" s="238"/>
      <c r="D24" s="238"/>
      <c r="E24" s="240"/>
      <c r="F24" s="19" t="s">
        <v>187</v>
      </c>
      <c r="G24" s="20" t="s">
        <v>188</v>
      </c>
      <c r="H24" s="244"/>
      <c r="M24" s="314">
        <v>197543.4</v>
      </c>
      <c r="N24" s="314">
        <f>M24*1.01</f>
        <v>199518.834</v>
      </c>
    </row>
    <row r="25" spans="2:14" ht="49.5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16996.428896103898</v>
      </c>
      <c r="G25" s="24">
        <f>$N$24/$N$25*E25</f>
        <v>17166.393185064939</v>
      </c>
      <c r="H25" s="25">
        <f>F25-G25</f>
        <v>-169.96428896104044</v>
      </c>
      <c r="I25" s="60"/>
      <c r="J25" s="27"/>
      <c r="K25" s="27"/>
      <c r="L25" s="28"/>
      <c r="M25" s="315">
        <f>E34-E32</f>
        <v>12.319999999999999</v>
      </c>
      <c r="N25" s="315">
        <f>E34-E32</f>
        <v>12.319999999999999</v>
      </c>
    </row>
    <row r="26" spans="2:14" ht="56.25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19080.896590909091</v>
      </c>
      <c r="G26" s="24">
        <f>$N$24/$N$25*E26</f>
        <v>19271.705556818182</v>
      </c>
      <c r="H26" s="25">
        <f t="shared" ref="H26:H31" si="0">F26-G26</f>
        <v>-190.80896590909106</v>
      </c>
      <c r="I26" s="61"/>
      <c r="J26" s="4"/>
      <c r="K26" s="4"/>
      <c r="L26" s="4"/>
      <c r="M26" s="316"/>
      <c r="N26" s="316"/>
    </row>
    <row r="27" spans="2:14" ht="51.75" customHeight="1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5130.9974025974034</v>
      </c>
      <c r="G27" s="24">
        <f t="shared" ref="G27:G30" si="2">$N$24/$N$25*E27</f>
        <v>5182.3073766233774</v>
      </c>
      <c r="H27" s="25">
        <f t="shared" si="0"/>
        <v>-51.309974025974043</v>
      </c>
      <c r="I27" s="44"/>
      <c r="L27" s="17"/>
    </row>
    <row r="28" spans="2:14" ht="25.5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1336.1972402597405</v>
      </c>
      <c r="G28" s="24">
        <f>($N$24/12*2)/$N$25*E28</f>
        <v>1349.559212662338</v>
      </c>
      <c r="H28" s="25">
        <f t="shared" si="0"/>
        <v>-13.36197240259753</v>
      </c>
      <c r="I28" s="44"/>
      <c r="L28" s="17"/>
    </row>
    <row r="29" spans="2:14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18920.552922077924</v>
      </c>
      <c r="G29" s="24">
        <f t="shared" si="2"/>
        <v>19109.758451298701</v>
      </c>
      <c r="H29" s="25">
        <f t="shared" si="0"/>
        <v>-189.20552922077695</v>
      </c>
      <c r="I29" s="44"/>
    </row>
    <row r="30" spans="2:14" ht="241.5" customHeight="1" x14ac:dyDescent="0.25">
      <c r="B30" s="29" t="s">
        <v>219</v>
      </c>
      <c r="C30" s="32" t="s">
        <v>204</v>
      </c>
      <c r="D30" s="22" t="s">
        <v>201</v>
      </c>
      <c r="E30" s="99">
        <v>5.61</v>
      </c>
      <c r="F30" s="23">
        <f t="shared" si="1"/>
        <v>89952.798214285736</v>
      </c>
      <c r="G30" s="24">
        <f t="shared" si="2"/>
        <v>90852.326196428592</v>
      </c>
      <c r="H30" s="25">
        <f t="shared" si="0"/>
        <v>-899.52798214285576</v>
      </c>
      <c r="I30" s="61"/>
      <c r="J30" s="4"/>
      <c r="K30" s="4"/>
      <c r="L30" s="3"/>
      <c r="M30" s="316"/>
      <c r="N30" s="316"/>
    </row>
    <row r="31" spans="2:14" ht="129.75" customHeight="1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3046.5297077922082</v>
      </c>
      <c r="G31" s="24">
        <f t="shared" ref="G31" si="3">$N$24/$N$25*E31</f>
        <v>3076.9950048701303</v>
      </c>
      <c r="H31" s="25">
        <f t="shared" si="0"/>
        <v>-30.46529707792206</v>
      </c>
      <c r="I31" s="44"/>
    </row>
    <row r="32" spans="2:14" ht="56.25" customHeight="1" x14ac:dyDescent="0.25">
      <c r="B32" s="30" t="s">
        <v>206</v>
      </c>
      <c r="C32" s="8" t="s">
        <v>223</v>
      </c>
      <c r="D32" s="22" t="s">
        <v>201</v>
      </c>
      <c r="E32" s="99">
        <v>3</v>
      </c>
      <c r="F32" s="23">
        <v>50608.9</v>
      </c>
      <c r="G32" s="6">
        <v>44379</v>
      </c>
      <c r="H32" s="25">
        <f>F32-G32</f>
        <v>6229.9000000000015</v>
      </c>
      <c r="I32" s="44"/>
      <c r="L32" s="17"/>
    </row>
    <row r="33" spans="2:14" ht="16.5" thickBot="1" x14ac:dyDescent="0.3">
      <c r="B33" s="51" t="s">
        <v>186</v>
      </c>
      <c r="C33" s="52" t="s">
        <v>204</v>
      </c>
      <c r="D33" s="53" t="s">
        <v>201</v>
      </c>
      <c r="E33" s="103">
        <f>1.98+0.29</f>
        <v>2.27</v>
      </c>
      <c r="F33" s="23">
        <f t="shared" si="1"/>
        <v>36398.01282467533</v>
      </c>
      <c r="G33" s="24">
        <f t="shared" ref="G33" si="4">$N$24/$N$25*E33</f>
        <v>36761.992952922083</v>
      </c>
      <c r="H33" s="33">
        <f>F33-G33</f>
        <v>-363.98012824675243</v>
      </c>
      <c r="I33" s="44"/>
    </row>
    <row r="34" spans="2:14" ht="16.5" thickBot="1" x14ac:dyDescent="0.3">
      <c r="B34" s="54" t="s">
        <v>190</v>
      </c>
      <c r="C34" s="55"/>
      <c r="D34" s="55"/>
      <c r="E34" s="101">
        <f>SUM(E25:E33)</f>
        <v>15.319999999999999</v>
      </c>
      <c r="F34" s="56">
        <f>SUM(F25:F33)</f>
        <v>241471.31379870133</v>
      </c>
      <c r="G34" s="57">
        <f>SUM(G25:G33)</f>
        <v>237150.03793668834</v>
      </c>
      <c r="H34" s="38">
        <f>SUM(H25:H33)</f>
        <v>4321.2758620129916</v>
      </c>
      <c r="I34" s="44"/>
    </row>
    <row r="35" spans="2:14" x14ac:dyDescent="0.25">
      <c r="B35" s="17"/>
      <c r="C35" s="17"/>
      <c r="D35" s="17"/>
      <c r="E35" s="86"/>
      <c r="F35" s="86"/>
      <c r="G35" s="86"/>
      <c r="H35" s="82"/>
    </row>
    <row r="36" spans="2:14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4" ht="48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43"/>
      <c r="M37" s="317"/>
      <c r="N37" s="317"/>
    </row>
    <row r="38" spans="2:14" x14ac:dyDescent="0.25">
      <c r="B38" s="93" t="s">
        <v>15</v>
      </c>
      <c r="C38" s="222">
        <f>E38+G38</f>
        <v>1188666.8437987012</v>
      </c>
      <c r="D38" s="223"/>
      <c r="E38" s="224">
        <f>F25+F26+F27+F28+F29+F30+F31+F33+E16</f>
        <v>1087768.8937987012</v>
      </c>
      <c r="F38" s="225"/>
      <c r="G38" s="224">
        <f>F32+G16</f>
        <v>100897.95000000001</v>
      </c>
      <c r="H38" s="226"/>
      <c r="I38" s="76"/>
      <c r="J38" s="77"/>
      <c r="K38" s="9"/>
      <c r="L38" s="9"/>
      <c r="M38" s="318"/>
    </row>
    <row r="39" spans="2:14" x14ac:dyDescent="0.25">
      <c r="B39" s="94" t="s">
        <v>16</v>
      </c>
      <c r="C39" s="220">
        <f>E39+G39</f>
        <v>1166999.3499999999</v>
      </c>
      <c r="D39" s="221"/>
      <c r="E39" s="220">
        <f>E17+193695.29</f>
        <v>1067600.17</v>
      </c>
      <c r="F39" s="221"/>
      <c r="G39" s="220">
        <f>G17+49623.05</f>
        <v>99399.18</v>
      </c>
      <c r="H39" s="251"/>
      <c r="I39" s="76"/>
      <c r="J39" s="77"/>
      <c r="K39" s="12"/>
      <c r="L39" s="9"/>
      <c r="M39" s="318"/>
    </row>
    <row r="40" spans="2:14" x14ac:dyDescent="0.25">
      <c r="B40" s="95" t="s">
        <v>189</v>
      </c>
      <c r="C40" s="220">
        <f>E40+G40</f>
        <v>1244025.8598366885</v>
      </c>
      <c r="D40" s="221"/>
      <c r="E40" s="246">
        <f>G25+G26+G27+G28+G29+G30+G31+G33+E18</f>
        <v>1099708.8598366885</v>
      </c>
      <c r="F40" s="247"/>
      <c r="G40" s="246">
        <f>G32+G18</f>
        <v>144317</v>
      </c>
      <c r="H40" s="252"/>
      <c r="I40" s="76"/>
      <c r="J40" s="77"/>
      <c r="K40" s="44"/>
      <c r="L40" s="44"/>
    </row>
    <row r="41" spans="2:14" ht="16.5" thickBot="1" x14ac:dyDescent="0.3">
      <c r="B41" s="96" t="s">
        <v>226</v>
      </c>
      <c r="C41" s="227">
        <f>E41+G41</f>
        <v>14400</v>
      </c>
      <c r="D41" s="228"/>
      <c r="E41" s="227">
        <f>E19+3600</f>
        <v>14400</v>
      </c>
      <c r="F41" s="228"/>
      <c r="G41" s="227">
        <f>G19</f>
        <v>0</v>
      </c>
      <c r="H41" s="250"/>
      <c r="I41" s="76"/>
      <c r="J41" s="77"/>
      <c r="K41" s="44"/>
      <c r="L41" s="44"/>
    </row>
    <row r="42" spans="2:14" ht="36.75" thickBot="1" x14ac:dyDescent="0.3">
      <c r="B42" s="97" t="s">
        <v>298</v>
      </c>
      <c r="C42" s="216">
        <f>E42+G42</f>
        <v>-62626.50983668858</v>
      </c>
      <c r="D42" s="217"/>
      <c r="E42" s="248">
        <f>E39+E41-E40</f>
        <v>-17708.689836688573</v>
      </c>
      <c r="F42" s="254"/>
      <c r="G42" s="248">
        <f>G39-G40</f>
        <v>-44917.820000000007</v>
      </c>
      <c r="H42" s="249"/>
      <c r="I42" s="76"/>
      <c r="J42" s="77"/>
      <c r="K42" s="44"/>
      <c r="L42" s="44"/>
    </row>
    <row r="43" spans="2:14" ht="29.2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78"/>
      <c r="I43" s="78"/>
      <c r="J43" s="4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1"/>
      <c r="G44" s="231"/>
      <c r="H44" s="78"/>
      <c r="I44" s="78"/>
      <c r="J44" s="4"/>
      <c r="K44" s="4"/>
      <c r="L44" s="4"/>
      <c r="M44" s="316"/>
      <c r="N44" s="316"/>
    </row>
    <row r="45" spans="2:14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78"/>
      <c r="I45" s="78"/>
      <c r="J45" s="4"/>
      <c r="K45" s="4"/>
      <c r="L45" s="4"/>
      <c r="M45" s="316"/>
      <c r="N45" s="316"/>
    </row>
    <row r="46" spans="2:14" ht="10.5" customHeight="1" x14ac:dyDescent="0.25">
      <c r="B46" s="205"/>
      <c r="C46" s="205"/>
      <c r="D46" s="205"/>
      <c r="E46" s="209"/>
      <c r="F46" s="230"/>
      <c r="G46" s="230"/>
      <c r="H46" s="78"/>
      <c r="I46" s="78"/>
    </row>
    <row r="47" spans="2:14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4" ht="9.75" customHeight="1" x14ac:dyDescent="0.25">
      <c r="B48" s="45"/>
      <c r="C48" s="45"/>
      <c r="D48" s="45"/>
      <c r="E48" s="209"/>
      <c r="F48" s="46"/>
      <c r="G48" s="47"/>
      <c r="H48" s="46"/>
      <c r="I48" s="47"/>
    </row>
    <row r="49" spans="2:9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78"/>
      <c r="I49" s="78"/>
    </row>
    <row r="50" spans="2:9" ht="9.75" customHeight="1" x14ac:dyDescent="0.25">
      <c r="B50" s="49"/>
      <c r="C50" s="49"/>
      <c r="D50" s="49"/>
      <c r="E50" s="209"/>
      <c r="F50" s="229"/>
      <c r="G50" s="229"/>
      <c r="H50" s="88"/>
      <c r="I50" s="88"/>
    </row>
    <row r="51" spans="2:9" x14ac:dyDescent="0.25">
      <c r="B51" s="49"/>
      <c r="C51" s="87"/>
      <c r="D51" s="88"/>
      <c r="E51" s="88"/>
      <c r="F51" s="49"/>
      <c r="G51" s="49"/>
      <c r="H51" s="49"/>
      <c r="I51" s="49"/>
    </row>
  </sheetData>
  <mergeCells count="61">
    <mergeCell ref="C43:E43"/>
    <mergeCell ref="C45:E45"/>
    <mergeCell ref="C47:E47"/>
    <mergeCell ref="C49:E49"/>
    <mergeCell ref="F44:G44"/>
    <mergeCell ref="F47:G47"/>
    <mergeCell ref="F49:G49"/>
    <mergeCell ref="F45:G45"/>
    <mergeCell ref="F46:G46"/>
    <mergeCell ref="B1:H1"/>
    <mergeCell ref="B2:H3"/>
    <mergeCell ref="E37:F37"/>
    <mergeCell ref="G37:H37"/>
    <mergeCell ref="B36:H36"/>
    <mergeCell ref="B14:H14"/>
    <mergeCell ref="E15:F15"/>
    <mergeCell ref="G15:H15"/>
    <mergeCell ref="E16:F16"/>
    <mergeCell ref="G16:H16"/>
    <mergeCell ref="E17:F17"/>
    <mergeCell ref="G17:H17"/>
    <mergeCell ref="C20:D20"/>
    <mergeCell ref="G20:H20"/>
    <mergeCell ref="E18:F18"/>
    <mergeCell ref="G18:H18"/>
    <mergeCell ref="F50:G50"/>
    <mergeCell ref="D5:E5"/>
    <mergeCell ref="B22:H22"/>
    <mergeCell ref="B23:B24"/>
    <mergeCell ref="C23:C24"/>
    <mergeCell ref="D23:D24"/>
    <mergeCell ref="E23:E24"/>
    <mergeCell ref="F23:G23"/>
    <mergeCell ref="H23:H24"/>
    <mergeCell ref="E38:F38"/>
    <mergeCell ref="G38:H38"/>
    <mergeCell ref="E39:F39"/>
    <mergeCell ref="G39:H39"/>
    <mergeCell ref="G40:H40"/>
    <mergeCell ref="F43:G43"/>
    <mergeCell ref="E20:F20"/>
    <mergeCell ref="E19:F19"/>
    <mergeCell ref="G19:H19"/>
    <mergeCell ref="C15:D15"/>
    <mergeCell ref="C16:D16"/>
    <mergeCell ref="C17:D17"/>
    <mergeCell ref="C18:D18"/>
    <mergeCell ref="C19:D19"/>
    <mergeCell ref="C40:D40"/>
    <mergeCell ref="C41:D41"/>
    <mergeCell ref="C42:D42"/>
    <mergeCell ref="M22:M23"/>
    <mergeCell ref="N22:N23"/>
    <mergeCell ref="C38:D38"/>
    <mergeCell ref="C37:D37"/>
    <mergeCell ref="C39:D39"/>
    <mergeCell ref="E40:F40"/>
    <mergeCell ref="E42:F42"/>
    <mergeCell ref="G42:H42"/>
    <mergeCell ref="E41:F41"/>
    <mergeCell ref="G41:H41"/>
  </mergeCells>
  <printOptions horizontalCentered="1"/>
  <pageMargins left="0.23622047244094491" right="0.27559055118110237" top="0.31496062992125984" bottom="0.23622047244094491" header="0.31496062992125984" footer="0.31496062992125984"/>
  <pageSetup paperSize="9" scale="4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1"/>
  <sheetViews>
    <sheetView topLeftCell="A19" zoomScale="110" zoomScaleNormal="110" workbookViewId="0">
      <selection activeCell="M19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7" style="5" customWidth="1"/>
    <col min="3" max="3" width="22" style="82" customWidth="1"/>
    <col min="4" max="4" width="8.85546875" style="82" customWidth="1"/>
    <col min="5" max="5" width="10.28515625" style="82" customWidth="1"/>
    <col min="6" max="6" width="10" style="5" customWidth="1"/>
    <col min="7" max="7" width="10.7109375" style="5" customWidth="1"/>
    <col min="8" max="8" width="12.140625" style="5" customWidth="1"/>
    <col min="9" max="9" width="12.85546875" style="5" customWidth="1"/>
    <col min="10" max="12" width="9.140625" style="5"/>
    <col min="13" max="13" width="13.42578125" style="310" customWidth="1"/>
    <col min="14" max="14" width="13.71093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165</v>
      </c>
      <c r="E5" s="234"/>
    </row>
    <row r="6" spans="1:9" x14ac:dyDescent="0.25">
      <c r="B6" s="10" t="s">
        <v>1</v>
      </c>
      <c r="C6" s="48"/>
      <c r="D6" s="207">
        <v>2007</v>
      </c>
      <c r="E6" s="207"/>
    </row>
    <row r="7" spans="1:9" hidden="1" outlineLevel="1" x14ac:dyDescent="0.25">
      <c r="B7" s="10" t="s">
        <v>2</v>
      </c>
      <c r="C7" s="48"/>
      <c r="D7" s="207">
        <v>3</v>
      </c>
      <c r="E7" s="207"/>
    </row>
    <row r="8" spans="1:9" hidden="1" outlineLevel="1" x14ac:dyDescent="0.25">
      <c r="B8" s="10" t="s">
        <v>3</v>
      </c>
      <c r="C8" s="48"/>
      <c r="D8" s="207">
        <v>24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166</v>
      </c>
      <c r="E9" s="207"/>
    </row>
    <row r="10" spans="1:9" collapsed="1" x14ac:dyDescent="0.25">
      <c r="B10" s="10" t="s">
        <v>5</v>
      </c>
      <c r="C10" s="48"/>
      <c r="D10" s="207" t="s">
        <v>280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153</v>
      </c>
      <c r="E12" s="208"/>
      <c r="I12" s="17"/>
    </row>
    <row r="13" spans="1:9" ht="8.2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7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881817.59000000008</v>
      </c>
      <c r="D16" s="253"/>
      <c r="E16" s="224">
        <v>879257.59000000008</v>
      </c>
      <c r="F16" s="225"/>
      <c r="G16" s="224">
        <v>2560</v>
      </c>
      <c r="H16" s="226"/>
      <c r="I16" s="17"/>
    </row>
    <row r="17" spans="2:14" x14ac:dyDescent="0.25">
      <c r="B17" s="94" t="s">
        <v>16</v>
      </c>
      <c r="C17" s="220">
        <v>898001.95</v>
      </c>
      <c r="D17" s="221"/>
      <c r="E17" s="220">
        <v>896110.95</v>
      </c>
      <c r="F17" s="221"/>
      <c r="G17" s="220">
        <v>1891</v>
      </c>
      <c r="H17" s="251"/>
      <c r="I17" s="17"/>
    </row>
    <row r="18" spans="2:14" x14ac:dyDescent="0.25">
      <c r="B18" s="95" t="s">
        <v>189</v>
      </c>
      <c r="C18" s="220">
        <v>920906.26003</v>
      </c>
      <c r="D18" s="221"/>
      <c r="E18" s="246">
        <v>893337.26003</v>
      </c>
      <c r="F18" s="247"/>
      <c r="G18" s="246">
        <v>27569</v>
      </c>
      <c r="H18" s="252"/>
      <c r="I18" s="17"/>
    </row>
    <row r="19" spans="2:14" ht="16.5" thickBot="1" x14ac:dyDescent="0.3">
      <c r="B19" s="96" t="s">
        <v>226</v>
      </c>
      <c r="C19" s="220">
        <v>7200</v>
      </c>
      <c r="D19" s="221"/>
      <c r="E19" s="227">
        <v>7200</v>
      </c>
      <c r="F19" s="228"/>
      <c r="G19" s="227">
        <v>0</v>
      </c>
      <c r="H19" s="250"/>
      <c r="I19" s="17"/>
    </row>
    <row r="20" spans="2:14" ht="32.25" customHeight="1" thickBot="1" x14ac:dyDescent="0.3">
      <c r="B20" s="97" t="s">
        <v>297</v>
      </c>
      <c r="C20" s="216">
        <f>E20+G20</f>
        <v>-15704.310030000051</v>
      </c>
      <c r="D20" s="217"/>
      <c r="E20" s="248">
        <f>E17+E19-E18</f>
        <v>9973.6899699999485</v>
      </c>
      <c r="F20" s="254"/>
      <c r="G20" s="248">
        <f>G17-G18</f>
        <v>-25678</v>
      </c>
      <c r="H20" s="249"/>
      <c r="I20" s="17"/>
    </row>
    <row r="21" spans="2:14" x14ac:dyDescent="0.25">
      <c r="B21" s="83"/>
      <c r="C21" s="83"/>
      <c r="D21" s="84"/>
      <c r="E21" s="85"/>
      <c r="F21" s="85"/>
      <c r="G21" s="85"/>
      <c r="H21" s="85"/>
      <c r="I21" s="17"/>
    </row>
    <row r="22" spans="2:14" ht="20.25" customHeight="1" thickBot="1" x14ac:dyDescent="0.3">
      <c r="B22" s="309" t="s">
        <v>324</v>
      </c>
      <c r="C22" s="309"/>
      <c r="D22" s="309"/>
      <c r="E22" s="309"/>
      <c r="F22" s="309"/>
      <c r="G22" s="309"/>
      <c r="H22" s="309"/>
      <c r="L22" s="17"/>
      <c r="M22" s="312" t="s">
        <v>301</v>
      </c>
      <c r="N22" s="312" t="s">
        <v>302</v>
      </c>
    </row>
    <row r="23" spans="2:14" ht="39.75" customHeight="1" x14ac:dyDescent="0.25">
      <c r="B23" s="235" t="s">
        <v>196</v>
      </c>
      <c r="C23" s="237" t="s">
        <v>197</v>
      </c>
      <c r="D23" s="237" t="s">
        <v>198</v>
      </c>
      <c r="E23" s="239" t="s">
        <v>325</v>
      </c>
      <c r="F23" s="241" t="s">
        <v>199</v>
      </c>
      <c r="G23" s="242"/>
      <c r="H23" s="243" t="s">
        <v>227</v>
      </c>
      <c r="L23" s="17"/>
      <c r="M23" s="313"/>
      <c r="N23" s="313"/>
    </row>
    <row r="24" spans="2:14" ht="39" customHeight="1" thickBot="1" x14ac:dyDescent="0.3">
      <c r="B24" s="236"/>
      <c r="C24" s="238"/>
      <c r="D24" s="238"/>
      <c r="E24" s="240"/>
      <c r="F24" s="19" t="s">
        <v>187</v>
      </c>
      <c r="G24" s="20" t="s">
        <v>188</v>
      </c>
      <c r="H24" s="244"/>
      <c r="M24" s="314">
        <v>151907.82</v>
      </c>
      <c r="N24" s="314">
        <f>M24*1.01</f>
        <v>153426.8982</v>
      </c>
    </row>
    <row r="25" spans="2:14" ht="49.5" customHeight="1" x14ac:dyDescent="0.25">
      <c r="B25" s="21" t="s">
        <v>191</v>
      </c>
      <c r="C25" s="8" t="s">
        <v>223</v>
      </c>
      <c r="D25" s="22" t="s">
        <v>201</v>
      </c>
      <c r="E25" s="98">
        <v>1.06</v>
      </c>
      <c r="F25" s="23">
        <f>$M$24/$M$25*E25</f>
        <v>14745.630879120883</v>
      </c>
      <c r="G25" s="24">
        <f>$N$24/$N$25*E25</f>
        <v>14893.087187912091</v>
      </c>
      <c r="H25" s="25">
        <f>F25-G25</f>
        <v>-147.45630879120836</v>
      </c>
      <c r="I25" s="60"/>
      <c r="J25" s="27"/>
      <c r="K25" s="27"/>
      <c r="L25" s="28"/>
      <c r="M25" s="315">
        <f>E34-E32</f>
        <v>10.919999999999998</v>
      </c>
      <c r="N25" s="315">
        <f>E34-E32</f>
        <v>10.919999999999998</v>
      </c>
    </row>
    <row r="26" spans="2:14" ht="56.25" x14ac:dyDescent="0.25">
      <c r="B26" s="29" t="s">
        <v>202</v>
      </c>
      <c r="C26" s="8" t="s">
        <v>223</v>
      </c>
      <c r="D26" s="22" t="s">
        <v>201</v>
      </c>
      <c r="E26" s="99">
        <v>1.19</v>
      </c>
      <c r="F26" s="23">
        <f>$M$24/$M$25*E26</f>
        <v>16554.05730769231</v>
      </c>
      <c r="G26" s="24">
        <f>$N$24/$N$25*E26</f>
        <v>16719.597880769234</v>
      </c>
      <c r="H26" s="25">
        <f t="shared" ref="H26:H31" si="0">F26-G26</f>
        <v>-165.54057307692347</v>
      </c>
      <c r="I26" s="61"/>
      <c r="J26" s="4"/>
      <c r="K26" s="4"/>
      <c r="L26" s="4"/>
      <c r="M26" s="316"/>
      <c r="N26" s="316"/>
    </row>
    <row r="27" spans="2:14" ht="51.75" customHeight="1" x14ac:dyDescent="0.25">
      <c r="B27" s="30" t="s">
        <v>184</v>
      </c>
      <c r="C27" s="8" t="s">
        <v>223</v>
      </c>
      <c r="D27" s="22" t="s">
        <v>201</v>
      </c>
      <c r="E27" s="99">
        <v>0.32</v>
      </c>
      <c r="F27" s="23">
        <f t="shared" ref="F27:F33" si="1">$M$24/$M$25*E27</f>
        <v>4451.5112087912094</v>
      </c>
      <c r="G27" s="24">
        <f t="shared" ref="G27:G30" si="2">$N$24/$N$25*E27</f>
        <v>4496.0263208791221</v>
      </c>
      <c r="H27" s="25">
        <f t="shared" si="0"/>
        <v>-44.515112087912712</v>
      </c>
      <c r="I27" s="44"/>
      <c r="L27" s="17"/>
    </row>
    <row r="28" spans="2:14" ht="25.5" x14ac:dyDescent="0.25">
      <c r="B28" s="30" t="s">
        <v>185</v>
      </c>
      <c r="C28" s="31" t="s">
        <v>203</v>
      </c>
      <c r="D28" s="22" t="s">
        <v>201</v>
      </c>
      <c r="E28" s="99">
        <v>0.5</v>
      </c>
      <c r="F28" s="23">
        <f>($M$24/12*2)/$M$25*E28</f>
        <v>1159.2477106227109</v>
      </c>
      <c r="G28" s="24">
        <f>($N$24/12*2)/$N$25*E28</f>
        <v>1170.8401877289377</v>
      </c>
      <c r="H28" s="25">
        <f t="shared" si="0"/>
        <v>-11.592477106226852</v>
      </c>
      <c r="I28" s="44"/>
      <c r="L28" s="17"/>
    </row>
    <row r="29" spans="2:14" ht="51" x14ac:dyDescent="0.25">
      <c r="B29" s="29" t="s">
        <v>192</v>
      </c>
      <c r="C29" s="32" t="s">
        <v>229</v>
      </c>
      <c r="D29" s="22" t="s">
        <v>201</v>
      </c>
      <c r="E29" s="99">
        <v>1.18</v>
      </c>
      <c r="F29" s="23">
        <f t="shared" si="1"/>
        <v>16414.947582417582</v>
      </c>
      <c r="G29" s="24">
        <f t="shared" si="2"/>
        <v>16579.097058241761</v>
      </c>
      <c r="H29" s="25">
        <f t="shared" si="0"/>
        <v>-164.14947582417881</v>
      </c>
      <c r="I29" s="44"/>
    </row>
    <row r="30" spans="2:14" ht="213" customHeight="1" x14ac:dyDescent="0.25">
      <c r="B30" s="29" t="s">
        <v>219</v>
      </c>
      <c r="C30" s="32" t="s">
        <v>204</v>
      </c>
      <c r="D30" s="22" t="s">
        <v>201</v>
      </c>
      <c r="E30" s="99">
        <v>5.61</v>
      </c>
      <c r="F30" s="23">
        <f t="shared" si="1"/>
        <v>78040.55587912089</v>
      </c>
      <c r="G30" s="24">
        <f t="shared" si="2"/>
        <v>78820.961437912105</v>
      </c>
      <c r="H30" s="25">
        <f t="shared" si="0"/>
        <v>-780.4055587912153</v>
      </c>
      <c r="I30" s="61"/>
      <c r="J30" s="4"/>
      <c r="K30" s="4"/>
      <c r="L30" s="3"/>
      <c r="M30" s="316"/>
      <c r="N30" s="316"/>
    </row>
    <row r="31" spans="2:14" ht="102" x14ac:dyDescent="0.25">
      <c r="B31" s="29" t="s">
        <v>205</v>
      </c>
      <c r="C31" s="8" t="s">
        <v>223</v>
      </c>
      <c r="D31" s="22" t="s">
        <v>201</v>
      </c>
      <c r="E31" s="99">
        <v>0.19</v>
      </c>
      <c r="F31" s="23">
        <f t="shared" si="1"/>
        <v>2643.0847802197809</v>
      </c>
      <c r="G31" s="24">
        <f t="shared" ref="G31" si="3">$N$24/$N$25*E31</f>
        <v>2669.5156280219785</v>
      </c>
      <c r="H31" s="25">
        <f t="shared" si="0"/>
        <v>-26.430847802197604</v>
      </c>
      <c r="I31" s="44"/>
    </row>
    <row r="32" spans="2:14" ht="56.25" customHeight="1" x14ac:dyDescent="0.25">
      <c r="B32" s="30" t="s">
        <v>206</v>
      </c>
      <c r="C32" s="8" t="s">
        <v>223</v>
      </c>
      <c r="D32" s="22" t="s">
        <v>201</v>
      </c>
      <c r="E32" s="99">
        <v>0</v>
      </c>
      <c r="F32" s="23">
        <v>0</v>
      </c>
      <c r="G32" s="6">
        <v>359</v>
      </c>
      <c r="H32" s="25">
        <f>F32-G32</f>
        <v>-359</v>
      </c>
      <c r="I32" s="44"/>
      <c r="L32" s="17"/>
    </row>
    <row r="33" spans="2:14" ht="16.5" thickBot="1" x14ac:dyDescent="0.3">
      <c r="B33" s="51" t="s">
        <v>186</v>
      </c>
      <c r="C33" s="52" t="s">
        <v>204</v>
      </c>
      <c r="D33" s="53" t="s">
        <v>201</v>
      </c>
      <c r="E33" s="103">
        <f>0.66+0.21</f>
        <v>0.87</v>
      </c>
      <c r="F33" s="23">
        <f t="shared" si="1"/>
        <v>12102.546098901101</v>
      </c>
      <c r="G33" s="24">
        <f t="shared" ref="G33" si="4">$N$24/$N$25*E33</f>
        <v>12223.571559890112</v>
      </c>
      <c r="H33" s="33">
        <f>F33-G33</f>
        <v>-121.02546098901075</v>
      </c>
      <c r="I33" s="44"/>
    </row>
    <row r="34" spans="2:14" ht="16.5" thickBot="1" x14ac:dyDescent="0.3">
      <c r="B34" s="54" t="s">
        <v>190</v>
      </c>
      <c r="C34" s="55"/>
      <c r="D34" s="55"/>
      <c r="E34" s="101">
        <f>SUM(E25:E33)</f>
        <v>10.919999999999998</v>
      </c>
      <c r="F34" s="56">
        <f>SUM(F25:F33)</f>
        <v>146111.58144688644</v>
      </c>
      <c r="G34" s="57">
        <f>SUM(G25:G33)</f>
        <v>147931.69726135535</v>
      </c>
      <c r="H34" s="38">
        <f>SUM(H25:H33)</f>
        <v>-1820.1158144688739</v>
      </c>
      <c r="I34" s="44"/>
    </row>
    <row r="35" spans="2:14" x14ac:dyDescent="0.25">
      <c r="B35" s="17"/>
      <c r="C35" s="17"/>
      <c r="D35" s="17"/>
      <c r="E35" s="86"/>
      <c r="F35" s="86"/>
      <c r="G35" s="86"/>
      <c r="H35" s="82"/>
    </row>
    <row r="36" spans="2:14" ht="16.5" customHeight="1" thickBot="1" x14ac:dyDescent="0.3">
      <c r="B36" s="260" t="s">
        <v>326</v>
      </c>
      <c r="C36" s="260"/>
      <c r="D36" s="260"/>
      <c r="E36" s="260"/>
      <c r="F36" s="260"/>
      <c r="G36" s="260"/>
      <c r="H36" s="260"/>
      <c r="I36" s="73"/>
      <c r="J36" s="73"/>
    </row>
    <row r="37" spans="2:14" ht="48" customHeight="1" thickBot="1" x14ac:dyDescent="0.3">
      <c r="B37" s="92" t="s">
        <v>327</v>
      </c>
      <c r="C37" s="266" t="s">
        <v>207</v>
      </c>
      <c r="D37" s="267"/>
      <c r="E37" s="257" t="s">
        <v>8</v>
      </c>
      <c r="F37" s="258"/>
      <c r="G37" s="257" t="s">
        <v>9</v>
      </c>
      <c r="H37" s="259"/>
      <c r="I37" s="74"/>
      <c r="J37" s="75"/>
      <c r="K37" s="42"/>
      <c r="L37" s="43"/>
      <c r="M37" s="317"/>
      <c r="N37" s="317"/>
    </row>
    <row r="38" spans="2:14" x14ac:dyDescent="0.25">
      <c r="B38" s="93" t="s">
        <v>15</v>
      </c>
      <c r="C38" s="222">
        <f>E38+G38</f>
        <v>1027929.1714468865</v>
      </c>
      <c r="D38" s="223"/>
      <c r="E38" s="224">
        <f>F25+F26+F27+F28+F29+F30+F31+F33+E16</f>
        <v>1025369.1714468865</v>
      </c>
      <c r="F38" s="225"/>
      <c r="G38" s="224">
        <f>F32+G16</f>
        <v>2560</v>
      </c>
      <c r="H38" s="226"/>
      <c r="I38" s="76"/>
      <c r="J38" s="77"/>
      <c r="K38" s="9"/>
      <c r="L38" s="9"/>
      <c r="M38" s="318"/>
    </row>
    <row r="39" spans="2:14" x14ac:dyDescent="0.25">
      <c r="B39" s="94" t="s">
        <v>16</v>
      </c>
      <c r="C39" s="220">
        <f>E39+G39</f>
        <v>1052667.1399999999</v>
      </c>
      <c r="D39" s="221"/>
      <c r="E39" s="220">
        <f>E17+154665.19</f>
        <v>1050776.1399999999</v>
      </c>
      <c r="F39" s="221"/>
      <c r="G39" s="220">
        <f>G17</f>
        <v>1891</v>
      </c>
      <c r="H39" s="251"/>
      <c r="I39" s="76"/>
      <c r="J39" s="77"/>
      <c r="K39" s="12"/>
      <c r="L39" s="9"/>
      <c r="M39" s="318"/>
    </row>
    <row r="40" spans="2:14" x14ac:dyDescent="0.25">
      <c r="B40" s="95" t="s">
        <v>189</v>
      </c>
      <c r="C40" s="220">
        <f>E40+G40</f>
        <v>1068837.9572913554</v>
      </c>
      <c r="D40" s="221"/>
      <c r="E40" s="246">
        <f>G25+G26+G27+G28+G29+G30+G31+G33+E18</f>
        <v>1040909.9572913554</v>
      </c>
      <c r="F40" s="247"/>
      <c r="G40" s="246">
        <f>G32+G18</f>
        <v>27928</v>
      </c>
      <c r="H40" s="252"/>
      <c r="I40" s="76"/>
      <c r="J40" s="77"/>
      <c r="K40" s="44"/>
      <c r="L40" s="44"/>
    </row>
    <row r="41" spans="2:14" ht="16.5" thickBot="1" x14ac:dyDescent="0.3">
      <c r="B41" s="96" t="s">
        <v>226</v>
      </c>
      <c r="C41" s="227">
        <f>E41+G41</f>
        <v>7200</v>
      </c>
      <c r="D41" s="228"/>
      <c r="E41" s="227">
        <f>E19</f>
        <v>7200</v>
      </c>
      <c r="F41" s="228"/>
      <c r="G41" s="227">
        <f>G19</f>
        <v>0</v>
      </c>
      <c r="H41" s="250"/>
      <c r="I41" s="76"/>
      <c r="J41" s="77"/>
      <c r="K41" s="44"/>
      <c r="L41" s="44"/>
    </row>
    <row r="42" spans="2:14" ht="25.5" thickBot="1" x14ac:dyDescent="0.3">
      <c r="B42" s="97" t="s">
        <v>298</v>
      </c>
      <c r="C42" s="216">
        <f>E42+G42</f>
        <v>-8970.817291355459</v>
      </c>
      <c r="D42" s="217"/>
      <c r="E42" s="248">
        <f>E39+E41-E40</f>
        <v>17066.182708644541</v>
      </c>
      <c r="F42" s="254"/>
      <c r="G42" s="248">
        <f>G39-G40</f>
        <v>-26037</v>
      </c>
      <c r="H42" s="249"/>
      <c r="I42" s="76"/>
      <c r="J42" s="77"/>
      <c r="K42" s="44"/>
      <c r="L42" s="44"/>
    </row>
    <row r="43" spans="2:14" ht="29.25" customHeight="1" x14ac:dyDescent="0.25">
      <c r="B43" s="205" t="s">
        <v>180</v>
      </c>
      <c r="C43" s="232" t="s">
        <v>308</v>
      </c>
      <c r="D43" s="232"/>
      <c r="E43" s="232"/>
      <c r="F43" s="230" t="s">
        <v>10</v>
      </c>
      <c r="G43" s="230"/>
      <c r="H43" s="78"/>
      <c r="I43" s="78"/>
      <c r="J43" s="4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1"/>
      <c r="G44" s="231"/>
      <c r="H44" s="78"/>
      <c r="I44" s="78"/>
      <c r="J44" s="4"/>
      <c r="K44" s="4"/>
      <c r="L44" s="4"/>
      <c r="M44" s="316"/>
      <c r="N44" s="316"/>
    </row>
    <row r="45" spans="2:14" x14ac:dyDescent="0.25">
      <c r="B45" s="205" t="s">
        <v>181</v>
      </c>
      <c r="C45" s="232" t="s">
        <v>308</v>
      </c>
      <c r="D45" s="232"/>
      <c r="E45" s="232"/>
      <c r="F45" s="230" t="s">
        <v>208</v>
      </c>
      <c r="G45" s="230"/>
      <c r="H45" s="78"/>
      <c r="I45" s="78"/>
      <c r="J45" s="4"/>
      <c r="K45" s="4"/>
      <c r="L45" s="4"/>
      <c r="M45" s="316"/>
      <c r="N45" s="316"/>
    </row>
    <row r="46" spans="2:14" ht="10.5" customHeight="1" x14ac:dyDescent="0.25">
      <c r="B46" s="205"/>
      <c r="C46" s="205"/>
      <c r="D46" s="205"/>
      <c r="E46" s="209"/>
      <c r="F46" s="230"/>
      <c r="G46" s="230"/>
      <c r="H46" s="78"/>
      <c r="I46" s="78"/>
    </row>
    <row r="47" spans="2:14" x14ac:dyDescent="0.25">
      <c r="B47" s="205" t="s">
        <v>182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4" ht="9.75" customHeight="1" x14ac:dyDescent="0.25">
      <c r="B48" s="45"/>
      <c r="C48" s="45"/>
      <c r="D48" s="45"/>
      <c r="E48" s="209"/>
      <c r="F48" s="46"/>
      <c r="G48" s="47"/>
      <c r="H48" s="46"/>
      <c r="I48" s="47"/>
    </row>
    <row r="49" spans="2:9" x14ac:dyDescent="0.25">
      <c r="B49" s="205" t="s">
        <v>183</v>
      </c>
      <c r="C49" s="232" t="s">
        <v>308</v>
      </c>
      <c r="D49" s="232"/>
      <c r="E49" s="232"/>
      <c r="F49" s="230" t="s">
        <v>209</v>
      </c>
      <c r="G49" s="230"/>
      <c r="H49" s="78"/>
      <c r="I49" s="78"/>
    </row>
    <row r="50" spans="2:9" ht="9.75" customHeight="1" x14ac:dyDescent="0.25">
      <c r="B50" s="49"/>
      <c r="C50" s="49"/>
      <c r="D50" s="49"/>
      <c r="E50" s="209"/>
      <c r="F50" s="229"/>
      <c r="G50" s="229"/>
      <c r="H50" s="88"/>
      <c r="I50" s="88"/>
    </row>
    <row r="51" spans="2:9" x14ac:dyDescent="0.25">
      <c r="B51" s="49"/>
      <c r="C51" s="87"/>
      <c r="D51" s="88"/>
      <c r="E51" s="88"/>
      <c r="F51" s="49"/>
      <c r="G51" s="49"/>
      <c r="H51" s="49"/>
      <c r="I51" s="49"/>
    </row>
  </sheetData>
  <mergeCells count="61">
    <mergeCell ref="C47:E47"/>
    <mergeCell ref="C49:E49"/>
    <mergeCell ref="E40:F40"/>
    <mergeCell ref="B36:H36"/>
    <mergeCell ref="E37:F37"/>
    <mergeCell ref="G37:H37"/>
    <mergeCell ref="G38:H38"/>
    <mergeCell ref="G39:H39"/>
    <mergeCell ref="G40:H40"/>
    <mergeCell ref="E38:F38"/>
    <mergeCell ref="C40:D40"/>
    <mergeCell ref="C41:D41"/>
    <mergeCell ref="C42:D42"/>
    <mergeCell ref="E39:F39"/>
    <mergeCell ref="E41:F41"/>
    <mergeCell ref="G41:H41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C20:D20"/>
    <mergeCell ref="E16:F16"/>
    <mergeCell ref="G16:H16"/>
    <mergeCell ref="E42:F42"/>
    <mergeCell ref="G42:H42"/>
    <mergeCell ref="F43:G43"/>
    <mergeCell ref="C43:E43"/>
    <mergeCell ref="C45:E45"/>
    <mergeCell ref="F50:G50"/>
    <mergeCell ref="F47:G47"/>
    <mergeCell ref="F49:G49"/>
    <mergeCell ref="F46:G46"/>
    <mergeCell ref="F44:G44"/>
    <mergeCell ref="F45:G45"/>
    <mergeCell ref="E17:F17"/>
    <mergeCell ref="G17:H17"/>
    <mergeCell ref="E20:F20"/>
    <mergeCell ref="G20:H20"/>
    <mergeCell ref="E18:F18"/>
    <mergeCell ref="G18:H18"/>
    <mergeCell ref="E19:F19"/>
    <mergeCell ref="G19:H19"/>
    <mergeCell ref="C15:D15"/>
    <mergeCell ref="C16:D16"/>
    <mergeCell ref="C17:D17"/>
    <mergeCell ref="C18:D18"/>
    <mergeCell ref="C19:D19"/>
    <mergeCell ref="M22:M23"/>
    <mergeCell ref="N22:N23"/>
    <mergeCell ref="C37:D37"/>
    <mergeCell ref="C38:D38"/>
    <mergeCell ref="C39:D39"/>
  </mergeCells>
  <printOptions horizontalCentered="1"/>
  <pageMargins left="0.19685039370078741" right="0.19685039370078741" top="0.15748031496062992" bottom="0.31496062992125984" header="0.31496062992125984" footer="0.31496062992125984"/>
  <pageSetup paperSize="9" scale="5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9"/>
  <sheetViews>
    <sheetView topLeftCell="A10" zoomScale="110" zoomScaleNormal="110" workbookViewId="0">
      <selection activeCell="M10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7109375" style="5" customWidth="1"/>
    <col min="3" max="3" width="22.7109375" style="82" customWidth="1"/>
    <col min="4" max="4" width="10" style="82" customWidth="1"/>
    <col min="5" max="5" width="10.28515625" style="82" customWidth="1"/>
    <col min="6" max="6" width="10" style="82" customWidth="1"/>
    <col min="7" max="7" width="10.42578125" style="5" customWidth="1"/>
    <col min="8" max="8" width="10.42578125" style="82" customWidth="1"/>
    <col min="9" max="9" width="10.7109375" style="5" bestFit="1" customWidth="1"/>
    <col min="10" max="10" width="11.85546875" style="5" customWidth="1"/>
    <col min="11" max="11" width="13.85546875" style="5" customWidth="1"/>
    <col min="12" max="12" width="9.140625" style="5"/>
    <col min="13" max="13" width="15.42578125" style="310" customWidth="1"/>
    <col min="14" max="14" width="15.57031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1.2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5" t="s">
        <v>0</v>
      </c>
      <c r="D5" s="245" t="s">
        <v>167</v>
      </c>
      <c r="E5" s="245"/>
    </row>
    <row r="6" spans="1:9" x14ac:dyDescent="0.25">
      <c r="B6" s="5" t="s">
        <v>1</v>
      </c>
      <c r="D6" s="208">
        <v>1978</v>
      </c>
      <c r="E6" s="208"/>
    </row>
    <row r="7" spans="1:9" hidden="1" outlineLevel="1" x14ac:dyDescent="0.25">
      <c r="B7" s="5" t="s">
        <v>2</v>
      </c>
      <c r="D7" s="208">
        <v>2</v>
      </c>
      <c r="E7" s="208"/>
    </row>
    <row r="8" spans="1:9" hidden="1" outlineLevel="1" x14ac:dyDescent="0.25">
      <c r="B8" s="5" t="s">
        <v>3</v>
      </c>
      <c r="D8" s="208">
        <v>18</v>
      </c>
      <c r="E8" s="208"/>
    </row>
    <row r="9" spans="1:9" ht="31.5" hidden="1" outlineLevel="1" x14ac:dyDescent="0.25">
      <c r="B9" s="14" t="s">
        <v>4</v>
      </c>
      <c r="C9" s="79"/>
      <c r="D9" s="208" t="s">
        <v>168</v>
      </c>
      <c r="E9" s="208"/>
    </row>
    <row r="10" spans="1:9" collapsed="1" x14ac:dyDescent="0.25">
      <c r="B10" s="5" t="s">
        <v>5</v>
      </c>
      <c r="D10" s="208" t="s">
        <v>281</v>
      </c>
      <c r="E10" s="208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1.5" hidden="1" customHeight="1" outlineLevel="1" x14ac:dyDescent="0.25">
      <c r="B12" s="14" t="s">
        <v>7</v>
      </c>
      <c r="C12" s="79"/>
      <c r="D12" s="91" t="s">
        <v>169</v>
      </c>
      <c r="E12" s="208"/>
      <c r="I12" s="17"/>
    </row>
    <row r="13" spans="1:9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8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778562.65999999992</v>
      </c>
      <c r="D16" s="253"/>
      <c r="E16" s="224">
        <v>565760.86</v>
      </c>
      <c r="F16" s="225"/>
      <c r="G16" s="224">
        <v>212801.8</v>
      </c>
      <c r="H16" s="226"/>
      <c r="I16" s="17"/>
    </row>
    <row r="17" spans="2:15" x14ac:dyDescent="0.25">
      <c r="B17" s="94" t="s">
        <v>16</v>
      </c>
      <c r="C17" s="220">
        <v>736023.79</v>
      </c>
      <c r="D17" s="268"/>
      <c r="E17" s="220">
        <v>536640.64</v>
      </c>
      <c r="F17" s="221"/>
      <c r="G17" s="220">
        <v>199383.15000000002</v>
      </c>
      <c r="H17" s="251"/>
      <c r="I17" s="17"/>
    </row>
    <row r="18" spans="2:15" ht="16.5" thickBot="1" x14ac:dyDescent="0.3">
      <c r="B18" s="95" t="s">
        <v>189</v>
      </c>
      <c r="C18" s="220">
        <v>754342.83040000009</v>
      </c>
      <c r="D18" s="268"/>
      <c r="E18" s="246">
        <v>568731.83040000009</v>
      </c>
      <c r="F18" s="247"/>
      <c r="G18" s="246">
        <v>185611</v>
      </c>
      <c r="H18" s="252"/>
      <c r="I18" s="17"/>
    </row>
    <row r="19" spans="2:15" ht="36.75" thickBot="1" x14ac:dyDescent="0.3">
      <c r="B19" s="97" t="s">
        <v>297</v>
      </c>
      <c r="C19" s="216">
        <f>E19+G19</f>
        <v>-18319.040400000056</v>
      </c>
      <c r="D19" s="217"/>
      <c r="E19" s="248">
        <f>E17-E18</f>
        <v>-32091.19040000008</v>
      </c>
      <c r="F19" s="254"/>
      <c r="G19" s="248">
        <f>G17-G18</f>
        <v>13772.150000000023</v>
      </c>
      <c r="H19" s="249"/>
      <c r="I19" s="17"/>
    </row>
    <row r="20" spans="2:15" x14ac:dyDescent="0.25">
      <c r="B20" s="14"/>
      <c r="C20" s="79"/>
      <c r="D20" s="91"/>
      <c r="E20" s="208"/>
      <c r="I20" s="17"/>
    </row>
    <row r="21" spans="2:15" ht="22.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L21" s="17"/>
      <c r="M21" s="312" t="s">
        <v>301</v>
      </c>
      <c r="N21" s="312" t="s">
        <v>302</v>
      </c>
    </row>
    <row r="22" spans="2:15" ht="32.25" customHeight="1" x14ac:dyDescent="0.25">
      <c r="B22" s="263" t="s">
        <v>196</v>
      </c>
      <c r="C22" s="237" t="s">
        <v>197</v>
      </c>
      <c r="D22" s="237" t="s">
        <v>210</v>
      </c>
      <c r="E22" s="239" t="s">
        <v>325</v>
      </c>
      <c r="F22" s="241" t="s">
        <v>199</v>
      </c>
      <c r="G22" s="242"/>
      <c r="H22" s="243" t="s">
        <v>227</v>
      </c>
      <c r="L22" s="17"/>
      <c r="M22" s="313"/>
      <c r="N22" s="313"/>
    </row>
    <row r="23" spans="2:15" ht="53.25" customHeight="1" thickBot="1" x14ac:dyDescent="0.3">
      <c r="B23" s="264"/>
      <c r="C23" s="238"/>
      <c r="D23" s="238"/>
      <c r="E23" s="240"/>
      <c r="F23" s="19" t="s">
        <v>187</v>
      </c>
      <c r="G23" s="20" t="s">
        <v>188</v>
      </c>
      <c r="H23" s="244"/>
      <c r="M23" s="314">
        <v>112667.14</v>
      </c>
      <c r="N23" s="314">
        <f>M23*1.01</f>
        <v>113793.81140000001</v>
      </c>
    </row>
    <row r="24" spans="2:15" ht="45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11277.353012275733</v>
      </c>
      <c r="G24" s="24">
        <f>$N$23/$N$24*E24</f>
        <v>11390.12654239849</v>
      </c>
      <c r="H24" s="25">
        <f>F24-G24</f>
        <v>-112.77353012275671</v>
      </c>
      <c r="I24" s="60"/>
      <c r="J24" s="27"/>
      <c r="K24" s="27"/>
      <c r="L24" s="28"/>
      <c r="M24" s="315">
        <f>E33-E31</f>
        <v>10.59</v>
      </c>
      <c r="N24" s="315">
        <f>E33-E31</f>
        <v>10.59</v>
      </c>
      <c r="O24" s="27"/>
    </row>
    <row r="25" spans="2:15" ht="51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12660.424608120868</v>
      </c>
      <c r="G25" s="6">
        <f>$N$23/$N$24*E25</f>
        <v>12787.028854202077</v>
      </c>
      <c r="H25" s="25">
        <f t="shared" ref="H25:H30" si="0">F25-G25</f>
        <v>-126.60424608120957</v>
      </c>
      <c r="I25" s="61"/>
      <c r="J25" s="4"/>
      <c r="K25" s="4"/>
      <c r="L25" s="4"/>
      <c r="M25" s="316"/>
      <c r="N25" s="316"/>
      <c r="O25" s="4"/>
    </row>
    <row r="26" spans="2:15" ht="45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3404.4839282341832</v>
      </c>
      <c r="G26" s="6">
        <f t="shared" ref="G26:G29" si="2">$N$23/$N$24*E26</f>
        <v>3438.528767516525</v>
      </c>
      <c r="H26" s="25">
        <f t="shared" si="0"/>
        <v>-34.044839282341854</v>
      </c>
      <c r="I26" s="44"/>
      <c r="L26" s="17"/>
    </row>
    <row r="27" spans="2:15" ht="25.5" x14ac:dyDescent="0.25">
      <c r="B27" s="30" t="s">
        <v>185</v>
      </c>
      <c r="C27" s="31" t="s">
        <v>203</v>
      </c>
      <c r="D27" s="22" t="s">
        <v>201</v>
      </c>
      <c r="E27" s="99">
        <v>0</v>
      </c>
      <c r="F27" s="23">
        <f t="shared" si="1"/>
        <v>0</v>
      </c>
      <c r="G27" s="6">
        <f t="shared" si="2"/>
        <v>0</v>
      </c>
      <c r="H27" s="25">
        <f t="shared" si="0"/>
        <v>0</v>
      </c>
      <c r="I27" s="44"/>
      <c r="L27" s="17"/>
    </row>
    <row r="28" spans="2:15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12554.034485363549</v>
      </c>
      <c r="G28" s="6">
        <f t="shared" si="2"/>
        <v>12679.574830217185</v>
      </c>
      <c r="H28" s="25">
        <f t="shared" si="0"/>
        <v>-125.54034485363627</v>
      </c>
      <c r="I28" s="44"/>
    </row>
    <row r="29" spans="2:15" ht="216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59684.858866855524</v>
      </c>
      <c r="G29" s="6">
        <f t="shared" si="2"/>
        <v>60281.707455524083</v>
      </c>
      <c r="H29" s="25">
        <f t="shared" si="0"/>
        <v>-596.84858866855939</v>
      </c>
      <c r="I29" s="61"/>
      <c r="J29" s="4"/>
      <c r="K29" s="4"/>
      <c r="L29" s="3"/>
      <c r="M29" s="316"/>
      <c r="N29" s="316"/>
    </row>
    <row r="30" spans="2:15" ht="121.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2021.4123323890462</v>
      </c>
      <c r="G30" s="6">
        <f t="shared" ref="G30" si="3">$N$23/$N$24*E30</f>
        <v>2041.6264557129368</v>
      </c>
      <c r="H30" s="25">
        <f t="shared" si="0"/>
        <v>-20.21412332389059</v>
      </c>
      <c r="I30" s="44"/>
    </row>
    <row r="31" spans="2:15" ht="45" x14ac:dyDescent="0.25">
      <c r="B31" s="30" t="s">
        <v>206</v>
      </c>
      <c r="C31" s="8" t="s">
        <v>223</v>
      </c>
      <c r="D31" s="22" t="s">
        <v>201</v>
      </c>
      <c r="E31" s="99">
        <v>3.93</v>
      </c>
      <c r="F31" s="23">
        <v>42946.84</v>
      </c>
      <c r="G31" s="6">
        <v>6394</v>
      </c>
      <c r="H31" s="25">
        <f>F31-G31</f>
        <v>36552.839999999997</v>
      </c>
      <c r="I31" s="44"/>
      <c r="L31" s="17"/>
    </row>
    <row r="32" spans="2:15" ht="16.5" thickBot="1" x14ac:dyDescent="0.3">
      <c r="B32" s="51" t="s">
        <v>186</v>
      </c>
      <c r="C32" s="52" t="s">
        <v>204</v>
      </c>
      <c r="D32" s="53" t="s">
        <v>201</v>
      </c>
      <c r="E32" s="103">
        <f>0.76+0.28</f>
        <v>1.04</v>
      </c>
      <c r="F32" s="23">
        <f t="shared" si="1"/>
        <v>11064.572766761095</v>
      </c>
      <c r="G32" s="6">
        <f t="shared" ref="G32" si="4">$N$23/$N$24*E32</f>
        <v>11175.218494428707</v>
      </c>
      <c r="H32" s="33">
        <f>F32-G32</f>
        <v>-110.64572766761194</v>
      </c>
      <c r="I32" s="44"/>
    </row>
    <row r="33" spans="2:15" ht="16.5" thickBot="1" x14ac:dyDescent="0.3">
      <c r="B33" s="54" t="s">
        <v>190</v>
      </c>
      <c r="C33" s="55"/>
      <c r="D33" s="55"/>
      <c r="E33" s="101">
        <f>SUM(E24:E32)</f>
        <v>14.52</v>
      </c>
      <c r="F33" s="56">
        <f>SUM(F24:F32)</f>
        <v>155613.98000000001</v>
      </c>
      <c r="G33" s="57">
        <f>SUM(G24:G32)</f>
        <v>120187.81140000001</v>
      </c>
      <c r="H33" s="38">
        <f>SUM(H24:H32)</f>
        <v>35426.16859999999</v>
      </c>
      <c r="I33" s="44"/>
    </row>
    <row r="34" spans="2:15" x14ac:dyDescent="0.25">
      <c r="B34" s="17"/>
      <c r="C34" s="17"/>
      <c r="D34" s="17"/>
      <c r="E34" s="86"/>
      <c r="G34" s="86"/>
      <c r="O34" s="82"/>
    </row>
    <row r="35" spans="2:15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73"/>
      <c r="J35" s="73"/>
    </row>
    <row r="36" spans="2:15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74"/>
      <c r="J36" s="75"/>
      <c r="K36" s="42"/>
      <c r="L36" s="43"/>
      <c r="M36" s="317"/>
      <c r="N36" s="317"/>
    </row>
    <row r="37" spans="2:15" x14ac:dyDescent="0.25">
      <c r="B37" s="93" t="s">
        <v>15</v>
      </c>
      <c r="C37" s="222">
        <f>E37+G37</f>
        <v>934176.64</v>
      </c>
      <c r="D37" s="223"/>
      <c r="E37" s="224">
        <f>F24+F25+F26+F27+F28+F29+F30+F32+E16</f>
        <v>678428</v>
      </c>
      <c r="F37" s="225"/>
      <c r="G37" s="224">
        <f>F31+G16</f>
        <v>255748.63999999998</v>
      </c>
      <c r="H37" s="226"/>
      <c r="I37" s="76"/>
      <c r="J37" s="77"/>
      <c r="K37" s="9"/>
      <c r="L37" s="9"/>
      <c r="M37" s="318"/>
    </row>
    <row r="38" spans="2:15" x14ac:dyDescent="0.25">
      <c r="B38" s="94" t="s">
        <v>16</v>
      </c>
      <c r="C38" s="220">
        <f>E38+G38</f>
        <v>884853.18</v>
      </c>
      <c r="D38" s="221"/>
      <c r="E38" s="220">
        <f>E17+107754.99</f>
        <v>644395.63</v>
      </c>
      <c r="F38" s="221"/>
      <c r="G38" s="220">
        <f>G17+41074.4</f>
        <v>240457.55000000002</v>
      </c>
      <c r="H38" s="251"/>
      <c r="I38" s="76"/>
      <c r="J38" s="77"/>
      <c r="K38" s="12"/>
      <c r="L38" s="9"/>
      <c r="M38" s="318"/>
    </row>
    <row r="39" spans="2:15" ht="16.5" thickBot="1" x14ac:dyDescent="0.3">
      <c r="B39" s="95" t="s">
        <v>189</v>
      </c>
      <c r="C39" s="227">
        <f>E39+G39</f>
        <v>874530.6418000001</v>
      </c>
      <c r="D39" s="228"/>
      <c r="E39" s="246">
        <f>G24+G25+G26+G27+G28+G29+G30+G32+E18</f>
        <v>682525.6418000001</v>
      </c>
      <c r="F39" s="247"/>
      <c r="G39" s="246">
        <f>G31+G18</f>
        <v>192005</v>
      </c>
      <c r="H39" s="252"/>
      <c r="I39" s="76"/>
      <c r="J39" s="77"/>
      <c r="K39" s="44"/>
      <c r="L39" s="44"/>
    </row>
    <row r="40" spans="2:15" ht="30.75" customHeight="1" thickBot="1" x14ac:dyDescent="0.3">
      <c r="B40" s="97" t="s">
        <v>298</v>
      </c>
      <c r="C40" s="216">
        <f>E40+G40</f>
        <v>10322.538199999923</v>
      </c>
      <c r="D40" s="217"/>
      <c r="E40" s="248">
        <f>E38-E39</f>
        <v>-38130.011800000095</v>
      </c>
      <c r="F40" s="254"/>
      <c r="G40" s="248">
        <f>G38-G39</f>
        <v>48452.550000000017</v>
      </c>
      <c r="H40" s="249"/>
      <c r="I40" s="76"/>
      <c r="J40" s="77"/>
      <c r="K40" s="44"/>
      <c r="L40" s="44"/>
    </row>
    <row r="41" spans="2:15" ht="27.7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4"/>
      <c r="K41" s="4"/>
      <c r="L41" s="4"/>
      <c r="M41" s="316"/>
      <c r="N41" s="316"/>
      <c r="O41" s="4"/>
    </row>
    <row r="42" spans="2:15" ht="9.75" customHeight="1" x14ac:dyDescent="0.25">
      <c r="B42" s="205"/>
      <c r="C42" s="205"/>
      <c r="D42" s="205"/>
      <c r="E42" s="209"/>
      <c r="F42" s="231"/>
      <c r="G42" s="231"/>
      <c r="H42" s="78"/>
      <c r="I42" s="78"/>
      <c r="J42" s="4"/>
      <c r="K42" s="4"/>
      <c r="L42" s="4"/>
      <c r="M42" s="316"/>
      <c r="N42" s="316"/>
      <c r="O42" s="4"/>
    </row>
    <row r="43" spans="2:15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4"/>
      <c r="K43" s="4"/>
      <c r="L43" s="4"/>
      <c r="M43" s="316"/>
      <c r="N43" s="316"/>
      <c r="O43" s="4"/>
    </row>
    <row r="44" spans="2:15" ht="9.75" customHeight="1" x14ac:dyDescent="0.25">
      <c r="B44" s="205"/>
      <c r="C44" s="205"/>
      <c r="D44" s="205"/>
      <c r="E44" s="209"/>
      <c r="F44" s="230"/>
      <c r="G44" s="230"/>
      <c r="H44" s="78"/>
      <c r="I44" s="78"/>
    </row>
    <row r="45" spans="2:15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</row>
    <row r="46" spans="2:15" ht="10.5" customHeight="1" x14ac:dyDescent="0.25">
      <c r="B46" s="45"/>
      <c r="C46" s="45"/>
      <c r="D46" s="45"/>
      <c r="E46" s="209"/>
      <c r="F46" s="46"/>
      <c r="G46" s="47"/>
      <c r="H46" s="48"/>
      <c r="I46" s="10"/>
    </row>
    <row r="47" spans="2:15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5" ht="9.75" customHeight="1" x14ac:dyDescent="0.25">
      <c r="E48" s="209"/>
      <c r="F48" s="5"/>
      <c r="H48" s="5"/>
    </row>
    <row r="49" spans="6:8" x14ac:dyDescent="0.25">
      <c r="F49" s="5"/>
      <c r="H49" s="5"/>
    </row>
  </sheetData>
  <mergeCells count="54">
    <mergeCell ref="C43:E43"/>
    <mergeCell ref="C45:E45"/>
    <mergeCell ref="C47:E47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8:H18"/>
    <mergeCell ref="E19:F19"/>
    <mergeCell ref="G19:H19"/>
    <mergeCell ref="G15:H15"/>
    <mergeCell ref="E40:F40"/>
    <mergeCell ref="G40:H40"/>
    <mergeCell ref="E16:F16"/>
    <mergeCell ref="G16:H16"/>
    <mergeCell ref="E17:F17"/>
    <mergeCell ref="G17:H17"/>
    <mergeCell ref="E18:F18"/>
    <mergeCell ref="F41:G41"/>
    <mergeCell ref="C40:D40"/>
    <mergeCell ref="E38:F38"/>
    <mergeCell ref="G38:H38"/>
    <mergeCell ref="E39:F39"/>
    <mergeCell ref="G39:H39"/>
    <mergeCell ref="C39:D39"/>
    <mergeCell ref="C41:E41"/>
    <mergeCell ref="C38:D38"/>
    <mergeCell ref="F45:G45"/>
    <mergeCell ref="F47:G47"/>
    <mergeCell ref="F42:G42"/>
    <mergeCell ref="F43:G43"/>
    <mergeCell ref="F44:G44"/>
    <mergeCell ref="C15:D15"/>
    <mergeCell ref="C16:D16"/>
    <mergeCell ref="C17:D17"/>
    <mergeCell ref="C18:D18"/>
    <mergeCell ref="C19:D19"/>
    <mergeCell ref="M21:M22"/>
    <mergeCell ref="N21:N22"/>
    <mergeCell ref="B35:H35"/>
    <mergeCell ref="C36:D36"/>
    <mergeCell ref="C37:D37"/>
    <mergeCell ref="E36:F36"/>
    <mergeCell ref="G36:H36"/>
    <mergeCell ref="E37:F37"/>
    <mergeCell ref="G37:H37"/>
  </mergeCells>
  <pageMargins left="0.19685039370078741" right="0.19685039370078741" top="0.16" bottom="0.25" header="0.31496062992125984" footer="0.24"/>
  <pageSetup paperSize="9" scale="47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9"/>
  <sheetViews>
    <sheetView topLeftCell="A13" zoomScale="110" zoomScaleNormal="110" workbookViewId="0">
      <selection activeCell="M13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9" style="5" customWidth="1"/>
    <col min="3" max="3" width="22.5703125" style="82" customWidth="1"/>
    <col min="4" max="4" width="8.28515625" style="82" customWidth="1"/>
    <col min="5" max="5" width="9.42578125" style="82" customWidth="1"/>
    <col min="6" max="6" width="10.28515625" style="5" customWidth="1"/>
    <col min="7" max="7" width="10.42578125" style="5" customWidth="1"/>
    <col min="8" max="8" width="10.28515625" style="5" customWidth="1"/>
    <col min="9" max="9" width="10.7109375" style="5" bestFit="1" customWidth="1"/>
    <col min="10" max="12" width="9.140625" style="5"/>
    <col min="13" max="13" width="17.42578125" style="310" customWidth="1"/>
    <col min="14" max="14" width="17.71093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0.25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5.7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194</v>
      </c>
      <c r="E5" s="234"/>
    </row>
    <row r="6" spans="1:9" x14ac:dyDescent="0.25">
      <c r="B6" s="10" t="s">
        <v>1</v>
      </c>
      <c r="C6" s="48"/>
      <c r="D6" s="207">
        <v>1986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8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171</v>
      </c>
      <c r="E9" s="207"/>
    </row>
    <row r="10" spans="1:9" collapsed="1" x14ac:dyDescent="0.25">
      <c r="B10" s="10" t="s">
        <v>5</v>
      </c>
      <c r="C10" s="48"/>
      <c r="D10" s="207" t="s">
        <v>282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172</v>
      </c>
      <c r="E12" s="208"/>
      <c r="I12" s="17"/>
    </row>
    <row r="13" spans="1:9" ht="9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7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625166.60000000009</v>
      </c>
      <c r="D16" s="253"/>
      <c r="E16" s="224">
        <v>488609.09</v>
      </c>
      <c r="F16" s="225"/>
      <c r="G16" s="224">
        <v>136557.51</v>
      </c>
      <c r="H16" s="226"/>
      <c r="I16" s="17"/>
    </row>
    <row r="17" spans="2:14" x14ac:dyDescent="0.25">
      <c r="B17" s="94" t="s">
        <v>16</v>
      </c>
      <c r="C17" s="220">
        <v>556494.07999999996</v>
      </c>
      <c r="D17" s="268"/>
      <c r="E17" s="220">
        <v>435100.36</v>
      </c>
      <c r="F17" s="221"/>
      <c r="G17" s="220">
        <v>121393.72</v>
      </c>
      <c r="H17" s="251"/>
      <c r="I17" s="17"/>
    </row>
    <row r="18" spans="2:14" ht="16.5" thickBot="1" x14ac:dyDescent="0.3">
      <c r="B18" s="95" t="s">
        <v>189</v>
      </c>
      <c r="C18" s="227">
        <v>520664.23400000005</v>
      </c>
      <c r="D18" s="308"/>
      <c r="E18" s="246">
        <v>503833.23400000005</v>
      </c>
      <c r="F18" s="247"/>
      <c r="G18" s="246">
        <v>16831</v>
      </c>
      <c r="H18" s="252"/>
      <c r="I18" s="17"/>
    </row>
    <row r="19" spans="2:14" ht="25.5" thickBot="1" x14ac:dyDescent="0.3">
      <c r="B19" s="97" t="s">
        <v>297</v>
      </c>
      <c r="C19" s="216">
        <f>E19+G19</f>
        <v>35829.845999999932</v>
      </c>
      <c r="D19" s="217"/>
      <c r="E19" s="248">
        <f>E17-E18</f>
        <v>-68732.874000000069</v>
      </c>
      <c r="F19" s="254"/>
      <c r="G19" s="248">
        <f>G17-G18</f>
        <v>104562.72</v>
      </c>
      <c r="H19" s="249"/>
      <c r="I19" s="17"/>
    </row>
    <row r="20" spans="2:14" ht="10.5" customHeight="1" x14ac:dyDescent="0.25">
      <c r="B20" s="14"/>
      <c r="C20" s="79"/>
      <c r="D20" s="91"/>
      <c r="E20" s="208"/>
      <c r="I20" s="17"/>
    </row>
    <row r="21" spans="2:14" ht="18.7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27.7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54.7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98675.35</v>
      </c>
      <c r="N23" s="314">
        <f>M23*1.01</f>
        <v>99662.103500000012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10037.991458733208</v>
      </c>
      <c r="G24" s="24">
        <f>$N$23/$N$24*E24</f>
        <v>10138.371373320542</v>
      </c>
      <c r="H24" s="25">
        <f>F24-G24</f>
        <v>-100.3799145873345</v>
      </c>
      <c r="I24" s="26"/>
      <c r="J24" s="26"/>
      <c r="K24" s="27"/>
      <c r="L24" s="28"/>
      <c r="M24" s="315">
        <f>E33-E31</f>
        <v>10.419999999999998</v>
      </c>
      <c r="N24" s="315">
        <f>E33-E31</f>
        <v>10.419999999999998</v>
      </c>
    </row>
    <row r="25" spans="2:14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11269.065882917468</v>
      </c>
      <c r="G25" s="24">
        <f>$N$23/$N$24*E25</f>
        <v>11381.756541746645</v>
      </c>
      <c r="H25" s="25">
        <f t="shared" ref="H25:H30" si="0">F25-G25</f>
        <v>-112.69065882917675</v>
      </c>
      <c r="I25" s="26"/>
      <c r="J25" s="26"/>
      <c r="K25" s="4"/>
      <c r="L25" s="4"/>
      <c r="M25" s="316"/>
      <c r="N25" s="316"/>
    </row>
    <row r="26" spans="2:14" ht="52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3030.3370441458742</v>
      </c>
      <c r="G26" s="24">
        <f t="shared" ref="G26:G29" si="2">$N$23/$N$24*E26</f>
        <v>3060.6404145873335</v>
      </c>
      <c r="H26" s="25">
        <f t="shared" si="0"/>
        <v>-30.303370441459265</v>
      </c>
      <c r="I26" s="26"/>
      <c r="J26" s="26"/>
      <c r="L26" s="17"/>
    </row>
    <row r="27" spans="2:14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789.15027191298793</v>
      </c>
      <c r="G27" s="24">
        <f>($N$23/12*2)/$N$24*E27</f>
        <v>797.04177463211806</v>
      </c>
      <c r="H27" s="25">
        <f t="shared" si="0"/>
        <v>-7.8915027191301306</v>
      </c>
      <c r="I27" s="26"/>
      <c r="J27" s="26"/>
      <c r="L27" s="17"/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11174.36785028791</v>
      </c>
      <c r="G28" s="24">
        <f t="shared" si="2"/>
        <v>11286.111528790791</v>
      </c>
      <c r="H28" s="25">
        <f t="shared" si="0"/>
        <v>-111.74367850288036</v>
      </c>
      <c r="I28" s="26"/>
      <c r="J28" s="26"/>
    </row>
    <row r="29" spans="2:14" ht="224.2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53125.596305182356</v>
      </c>
      <c r="G29" s="24">
        <f t="shared" si="2"/>
        <v>53656.852268234186</v>
      </c>
      <c r="H29" s="25">
        <f t="shared" si="0"/>
        <v>-531.25596305182989</v>
      </c>
      <c r="I29" s="26"/>
      <c r="J29" s="26"/>
      <c r="K29" s="4"/>
      <c r="L29" s="3"/>
      <c r="M29" s="316"/>
      <c r="N29" s="316"/>
    </row>
    <row r="30" spans="2:14" ht="108.7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1799.2626199616127</v>
      </c>
      <c r="G30" s="24">
        <f t="shared" ref="G30" si="3">$N$23/$N$24*E30</f>
        <v>1817.255246161229</v>
      </c>
      <c r="H30" s="25">
        <f t="shared" si="0"/>
        <v>-17.992626199616325</v>
      </c>
      <c r="I30" s="26"/>
      <c r="J30" s="26"/>
    </row>
    <row r="31" spans="2:14" ht="56.25" x14ac:dyDescent="0.25">
      <c r="B31" s="30" t="s">
        <v>206</v>
      </c>
      <c r="C31" s="8" t="s">
        <v>223</v>
      </c>
      <c r="D31" s="22" t="s">
        <v>201</v>
      </c>
      <c r="E31" s="99">
        <v>3.19</v>
      </c>
      <c r="F31" s="23">
        <v>32585.34</v>
      </c>
      <c r="G31" s="6">
        <v>12990</v>
      </c>
      <c r="H31" s="25">
        <f>F31-G31</f>
        <v>19595.34</v>
      </c>
      <c r="I31" s="26"/>
      <c r="J31" s="26"/>
      <c r="L31" s="17"/>
    </row>
    <row r="32" spans="2:14" ht="16.5" thickBot="1" x14ac:dyDescent="0.3">
      <c r="B32" s="30" t="s">
        <v>186</v>
      </c>
      <c r="C32" s="52" t="s">
        <v>204</v>
      </c>
      <c r="D32" s="22" t="s">
        <v>201</v>
      </c>
      <c r="E32" s="99">
        <f>0.11+0.26</f>
        <v>0.37</v>
      </c>
      <c r="F32" s="23">
        <f t="shared" si="1"/>
        <v>3503.827207293667</v>
      </c>
      <c r="G32" s="24">
        <f t="shared" ref="G32" si="4">$N$23/$N$24*E32</f>
        <v>3538.8654793666042</v>
      </c>
      <c r="H32" s="33">
        <f>F32-G32</f>
        <v>-35.038272072937161</v>
      </c>
      <c r="I32" s="26"/>
      <c r="J32" s="26"/>
    </row>
    <row r="33" spans="2:14" ht="16.5" thickBot="1" x14ac:dyDescent="0.3">
      <c r="B33" s="34" t="s">
        <v>190</v>
      </c>
      <c r="C33" s="35"/>
      <c r="D33" s="35"/>
      <c r="E33" s="107">
        <f>SUM(E24:E32)</f>
        <v>13.609999999999998</v>
      </c>
      <c r="F33" s="36">
        <f>SUM(F24:F32)</f>
        <v>127314.93864043507</v>
      </c>
      <c r="G33" s="37">
        <f>SUM(G24:G32)</f>
        <v>108666.89462683946</v>
      </c>
      <c r="H33" s="38">
        <f>SUM(H24:H32)</f>
        <v>18648.044013595638</v>
      </c>
      <c r="I33" s="39"/>
      <c r="J33" s="39"/>
    </row>
    <row r="34" spans="2:14" x14ac:dyDescent="0.25">
      <c r="B34" s="17"/>
      <c r="C34" s="17"/>
      <c r="D34" s="17"/>
      <c r="E34" s="86"/>
      <c r="F34" s="86"/>
      <c r="G34" s="86"/>
      <c r="H34" s="82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x14ac:dyDescent="0.25">
      <c r="B37" s="93" t="s">
        <v>15</v>
      </c>
      <c r="C37" s="222">
        <f>E37+G37</f>
        <v>752481.53864043509</v>
      </c>
      <c r="D37" s="223"/>
      <c r="E37" s="224">
        <f>F24+F25+F26+F27+F28+F29+F30+F32+E16</f>
        <v>583338.68864043511</v>
      </c>
      <c r="F37" s="225"/>
      <c r="G37" s="224">
        <f>F31+G16</f>
        <v>169142.85</v>
      </c>
      <c r="H37" s="226"/>
      <c r="I37" s="212"/>
      <c r="J37" s="212"/>
      <c r="K37" s="9"/>
      <c r="L37" s="9"/>
      <c r="M37" s="318"/>
    </row>
    <row r="38" spans="2:14" x14ac:dyDescent="0.25">
      <c r="B38" s="94" t="s">
        <v>16</v>
      </c>
      <c r="C38" s="220">
        <f>E38+G38</f>
        <v>712220.05</v>
      </c>
      <c r="D38" s="221"/>
      <c r="E38" s="220">
        <f>E17+117067.15</f>
        <v>552167.51</v>
      </c>
      <c r="F38" s="221"/>
      <c r="G38" s="220">
        <f>G17+38658.82</f>
        <v>160052.54</v>
      </c>
      <c r="H38" s="251"/>
      <c r="I38" s="212"/>
      <c r="J38" s="212"/>
      <c r="K38" s="12"/>
      <c r="L38" s="9"/>
      <c r="M38" s="318"/>
    </row>
    <row r="39" spans="2:14" ht="16.5" thickBot="1" x14ac:dyDescent="0.3">
      <c r="B39" s="95" t="s">
        <v>189</v>
      </c>
      <c r="C39" s="227">
        <f>E39+G39</f>
        <v>629331.12862683949</v>
      </c>
      <c r="D39" s="228"/>
      <c r="E39" s="246">
        <f>G24+G25+G26+G27+G28+G29+G30+G32+E18</f>
        <v>599510.12862683949</v>
      </c>
      <c r="F39" s="247"/>
      <c r="G39" s="246">
        <f>G31+G18</f>
        <v>29821</v>
      </c>
      <c r="H39" s="252"/>
      <c r="I39" s="212"/>
      <c r="J39" s="212"/>
      <c r="K39" s="44"/>
      <c r="L39" s="44"/>
    </row>
    <row r="40" spans="2:14" ht="25.5" thickBot="1" x14ac:dyDescent="0.3">
      <c r="B40" s="97" t="s">
        <v>298</v>
      </c>
      <c r="C40" s="216">
        <f>E40+G40</f>
        <v>82888.921373160527</v>
      </c>
      <c r="D40" s="217"/>
      <c r="E40" s="248">
        <f>E38-E39</f>
        <v>-47342.618626839481</v>
      </c>
      <c r="F40" s="254"/>
      <c r="G40" s="248">
        <f>G38-G39</f>
        <v>130231.54000000001</v>
      </c>
      <c r="H40" s="249"/>
      <c r="I40" s="212"/>
      <c r="J40" s="212"/>
      <c r="K40" s="44"/>
      <c r="L40" s="44"/>
    </row>
    <row r="41" spans="2:14" ht="34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78"/>
      <c r="I41" s="78"/>
      <c r="J41" s="205"/>
      <c r="K41" s="4"/>
      <c r="L41" s="4"/>
      <c r="M41" s="316"/>
      <c r="N41" s="316"/>
    </row>
    <row r="42" spans="2:14" ht="11.25" customHeight="1" x14ac:dyDescent="0.25">
      <c r="B42" s="205"/>
      <c r="C42" s="205"/>
      <c r="D42" s="205"/>
      <c r="E42" s="209"/>
      <c r="F42" s="231"/>
      <c r="G42" s="231"/>
      <c r="H42" s="78"/>
      <c r="I42" s="78"/>
      <c r="J42" s="210"/>
      <c r="K42" s="4"/>
      <c r="L42" s="4"/>
      <c r="M42" s="316"/>
      <c r="N42" s="316"/>
    </row>
    <row r="43" spans="2:14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78"/>
      <c r="I43" s="78"/>
      <c r="J43" s="205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0"/>
      <c r="G44" s="230"/>
      <c r="H44" s="78"/>
      <c r="I44" s="78"/>
      <c r="J44" s="205"/>
    </row>
    <row r="45" spans="2:14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78"/>
      <c r="I45" s="78"/>
      <c r="J45" s="205"/>
    </row>
    <row r="46" spans="2:14" ht="8.25" customHeight="1" x14ac:dyDescent="0.25">
      <c r="B46" s="45"/>
      <c r="C46" s="45"/>
      <c r="D46" s="45"/>
      <c r="E46" s="209"/>
      <c r="F46" s="46"/>
      <c r="G46" s="47"/>
      <c r="H46" s="48"/>
      <c r="I46" s="10"/>
      <c r="J46" s="48"/>
    </row>
    <row r="47" spans="2:14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  <c r="H47" s="78"/>
      <c r="I47" s="78"/>
    </row>
    <row r="48" spans="2:14" ht="9" customHeight="1" x14ac:dyDescent="0.25">
      <c r="B48" s="49"/>
      <c r="C48" s="49"/>
      <c r="D48" s="49"/>
      <c r="E48" s="209"/>
      <c r="F48" s="229"/>
      <c r="G48" s="229"/>
    </row>
    <row r="49" spans="3:5" x14ac:dyDescent="0.25">
      <c r="C49" s="86"/>
      <c r="E49" s="50"/>
    </row>
  </sheetData>
  <mergeCells count="55">
    <mergeCell ref="D5:E5"/>
    <mergeCell ref="B21:H21"/>
    <mergeCell ref="F22:G22"/>
    <mergeCell ref="H22:H23"/>
    <mergeCell ref="B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15:D15"/>
    <mergeCell ref="F48:G48"/>
    <mergeCell ref="B1:H1"/>
    <mergeCell ref="B2:H3"/>
    <mergeCell ref="F44:G44"/>
    <mergeCell ref="F45:G45"/>
    <mergeCell ref="F41:G41"/>
    <mergeCell ref="F42:G42"/>
    <mergeCell ref="F43:G43"/>
    <mergeCell ref="E39:F39"/>
    <mergeCell ref="G39:H39"/>
    <mergeCell ref="E40:F40"/>
    <mergeCell ref="G40:H40"/>
    <mergeCell ref="E37:F37"/>
    <mergeCell ref="G37:H37"/>
    <mergeCell ref="E38:F38"/>
    <mergeCell ref="G38:H38"/>
    <mergeCell ref="F47:G47"/>
    <mergeCell ref="B35:H35"/>
    <mergeCell ref="E36:F36"/>
    <mergeCell ref="G36:H36"/>
    <mergeCell ref="B22:B23"/>
    <mergeCell ref="C22:C23"/>
    <mergeCell ref="D22:D23"/>
    <mergeCell ref="E22:E23"/>
    <mergeCell ref="C40:D40"/>
    <mergeCell ref="C41:E41"/>
    <mergeCell ref="C43:E43"/>
    <mergeCell ref="C45:E45"/>
    <mergeCell ref="C47:E47"/>
    <mergeCell ref="C16:D16"/>
    <mergeCell ref="C17:D17"/>
    <mergeCell ref="C18:D18"/>
    <mergeCell ref="C19:D19"/>
    <mergeCell ref="C39:D39"/>
    <mergeCell ref="M21:M22"/>
    <mergeCell ref="N21:N22"/>
    <mergeCell ref="C36:D36"/>
    <mergeCell ref="C37:D37"/>
    <mergeCell ref="C38:D38"/>
  </mergeCells>
  <printOptions horizontalCentered="1"/>
  <pageMargins left="0.19685039370078741" right="0.19685039370078741" top="0.15748031496062992" bottom="0.23622047244094491" header="0.16" footer="0.25"/>
  <pageSetup paperSize="9" scale="4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9"/>
  <sheetViews>
    <sheetView topLeftCell="A19" zoomScale="110" zoomScaleNormal="110" workbookViewId="0">
      <selection activeCell="M19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6.140625" style="5" customWidth="1"/>
    <col min="3" max="3" width="22.85546875" style="82" customWidth="1"/>
    <col min="4" max="4" width="8.85546875" style="82" customWidth="1"/>
    <col min="5" max="5" width="10.7109375" style="82" customWidth="1"/>
    <col min="6" max="6" width="10.42578125" style="5" customWidth="1"/>
    <col min="7" max="8" width="10.28515625" style="5" customWidth="1"/>
    <col min="9" max="9" width="10.7109375" style="5" bestFit="1" customWidth="1"/>
    <col min="10" max="12" width="9.140625" style="5"/>
    <col min="13" max="13" width="12.85546875" style="310" customWidth="1"/>
    <col min="14" max="14" width="14.1406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0.25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195</v>
      </c>
      <c r="E5" s="234"/>
    </row>
    <row r="6" spans="1:9" x14ac:dyDescent="0.25">
      <c r="B6" s="10" t="s">
        <v>1</v>
      </c>
      <c r="C6" s="48"/>
      <c r="D6" s="207">
        <v>1987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8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171</v>
      </c>
      <c r="E9" s="207"/>
    </row>
    <row r="10" spans="1:9" collapsed="1" x14ac:dyDescent="0.25">
      <c r="B10" s="10" t="s">
        <v>5</v>
      </c>
      <c r="C10" s="48"/>
      <c r="D10" s="207" t="s">
        <v>283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172</v>
      </c>
      <c r="E12" s="208"/>
      <c r="I12" s="17"/>
    </row>
    <row r="13" spans="1:9" ht="6.7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51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607985.9</v>
      </c>
      <c r="D16" s="253"/>
      <c r="E16" s="224">
        <v>475316.94</v>
      </c>
      <c r="F16" s="225"/>
      <c r="G16" s="224">
        <v>132668.96</v>
      </c>
      <c r="H16" s="226"/>
      <c r="I16" s="17"/>
    </row>
    <row r="17" spans="2:14" x14ac:dyDescent="0.25">
      <c r="B17" s="94" t="s">
        <v>16</v>
      </c>
      <c r="C17" s="220">
        <v>592350.42999999993</v>
      </c>
      <c r="D17" s="268"/>
      <c r="E17" s="220">
        <v>463222.42</v>
      </c>
      <c r="F17" s="221"/>
      <c r="G17" s="220">
        <v>129128.01000000001</v>
      </c>
      <c r="H17" s="251"/>
      <c r="I17" s="17"/>
    </row>
    <row r="18" spans="2:14" ht="16.5" thickBot="1" x14ac:dyDescent="0.3">
      <c r="B18" s="95" t="s">
        <v>189</v>
      </c>
      <c r="C18" s="227">
        <v>506639.99320000008</v>
      </c>
      <c r="D18" s="308"/>
      <c r="E18" s="246">
        <v>488550.99320000008</v>
      </c>
      <c r="F18" s="247"/>
      <c r="G18" s="246">
        <v>18089</v>
      </c>
      <c r="H18" s="252"/>
      <c r="I18" s="17"/>
    </row>
    <row r="19" spans="2:14" ht="30" customHeight="1" thickBot="1" x14ac:dyDescent="0.3">
      <c r="B19" s="97" t="s">
        <v>297</v>
      </c>
      <c r="C19" s="216">
        <f>E19+G19</f>
        <v>85710.436799999909</v>
      </c>
      <c r="D19" s="217"/>
      <c r="E19" s="248">
        <f>E17-E18</f>
        <v>-25328.573200000101</v>
      </c>
      <c r="F19" s="254"/>
      <c r="G19" s="248">
        <f>G17-G18</f>
        <v>111039.01000000001</v>
      </c>
      <c r="H19" s="249"/>
      <c r="I19" s="17"/>
    </row>
    <row r="20" spans="2:14" x14ac:dyDescent="0.25">
      <c r="B20" s="14"/>
      <c r="C20" s="79"/>
      <c r="D20" s="91"/>
      <c r="E20" s="208"/>
      <c r="I20" s="17"/>
    </row>
    <row r="21" spans="2:14" ht="17.2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27.7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54.7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99555.3</v>
      </c>
      <c r="N23" s="314">
        <f>M23*1.01</f>
        <v>100550.853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10127.506525911711</v>
      </c>
      <c r="G24" s="24">
        <f>$N$23/$N$24*E24</f>
        <v>10228.781591170828</v>
      </c>
      <c r="H24" s="25">
        <f>F24-G24</f>
        <v>-101.27506525911667</v>
      </c>
      <c r="I24" s="26"/>
      <c r="J24" s="26"/>
      <c r="K24" s="27"/>
      <c r="L24" s="28"/>
      <c r="M24" s="315">
        <f>E33-E31</f>
        <v>10.419999999999998</v>
      </c>
      <c r="N24" s="315">
        <f>E33-E31</f>
        <v>10.419999999999998</v>
      </c>
    </row>
    <row r="25" spans="2:14" ht="51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11369.559213051825</v>
      </c>
      <c r="G25" s="24">
        <f>$N$23/$N$24*E25</f>
        <v>11483.254805182343</v>
      </c>
      <c r="H25" s="25">
        <f t="shared" ref="H25:H30" si="0">F25-G25</f>
        <v>-113.69559213051798</v>
      </c>
      <c r="I25" s="26"/>
      <c r="J25" s="26"/>
      <c r="K25" s="4"/>
      <c r="L25" s="4"/>
      <c r="M25" s="316"/>
      <c r="N25" s="316"/>
    </row>
    <row r="26" spans="2:14" ht="52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3057.3604606525919</v>
      </c>
      <c r="G26" s="24">
        <f t="shared" ref="G26:G29" si="2">$N$23/$N$24*E26</f>
        <v>3087.9340652591177</v>
      </c>
      <c r="H26" s="25">
        <f t="shared" si="0"/>
        <v>-30.573604606525805</v>
      </c>
      <c r="I26" s="26"/>
      <c r="J26" s="26"/>
      <c r="L26" s="17"/>
    </row>
    <row r="27" spans="2:14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796.18761996161243</v>
      </c>
      <c r="G27" s="24">
        <f>($N$23/12*2)/$N$24*E27</f>
        <v>804.14949616122863</v>
      </c>
      <c r="H27" s="25">
        <f t="shared" si="0"/>
        <v>-7.9618761996161993</v>
      </c>
      <c r="I27" s="26"/>
      <c r="J27" s="26"/>
      <c r="L27" s="17"/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11274.016698656433</v>
      </c>
      <c r="G28" s="24">
        <f t="shared" si="2"/>
        <v>11386.756865642996</v>
      </c>
      <c r="H28" s="25">
        <f t="shared" si="0"/>
        <v>-112.74016698656305</v>
      </c>
      <c r="I28" s="26"/>
      <c r="J28" s="26"/>
    </row>
    <row r="29" spans="2:14" ht="207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53599.350575815755</v>
      </c>
      <c r="G29" s="24">
        <f t="shared" si="2"/>
        <v>54135.344081573909</v>
      </c>
      <c r="H29" s="25">
        <f t="shared" si="0"/>
        <v>-535.99350575815333</v>
      </c>
      <c r="I29" s="26"/>
      <c r="J29" s="26"/>
      <c r="K29" s="4"/>
      <c r="L29" s="3"/>
      <c r="M29" s="316"/>
      <c r="N29" s="316"/>
    </row>
    <row r="30" spans="2:14" ht="108.7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1815.3077735124766</v>
      </c>
      <c r="G30" s="24">
        <f t="shared" ref="G30" si="3">$N$23/$N$24*E30</f>
        <v>1833.4608512476011</v>
      </c>
      <c r="H30" s="25">
        <f t="shared" si="0"/>
        <v>-18.153077735124498</v>
      </c>
      <c r="I30" s="26"/>
      <c r="J30" s="26"/>
    </row>
    <row r="31" spans="2:14" ht="45" x14ac:dyDescent="0.25">
      <c r="B31" s="30" t="s">
        <v>206</v>
      </c>
      <c r="C31" s="8" t="s">
        <v>223</v>
      </c>
      <c r="D31" s="22" t="s">
        <v>201</v>
      </c>
      <c r="E31" s="99">
        <v>3.19</v>
      </c>
      <c r="F31" s="23">
        <v>32875.919999999998</v>
      </c>
      <c r="G31" s="6">
        <v>75020</v>
      </c>
      <c r="H31" s="25">
        <f>F31-G31</f>
        <v>-42144.08</v>
      </c>
      <c r="I31" s="26"/>
      <c r="J31" s="26"/>
      <c r="L31" s="17"/>
    </row>
    <row r="32" spans="2:14" ht="16.5" thickBot="1" x14ac:dyDescent="0.3">
      <c r="B32" s="51" t="s">
        <v>186</v>
      </c>
      <c r="C32" s="52" t="s">
        <v>204</v>
      </c>
      <c r="D32" s="53" t="s">
        <v>201</v>
      </c>
      <c r="E32" s="103">
        <f>0.11+0.26</f>
        <v>0.37</v>
      </c>
      <c r="F32" s="23">
        <f t="shared" si="1"/>
        <v>3535.0730326295593</v>
      </c>
      <c r="G32" s="24">
        <f t="shared" ref="G32" si="4">$N$23/$N$24*E32</f>
        <v>3570.4237629558547</v>
      </c>
      <c r="H32" s="33">
        <f>F32-G32</f>
        <v>-35.350730326295434</v>
      </c>
      <c r="I32" s="26"/>
      <c r="J32" s="26"/>
    </row>
    <row r="33" spans="2:14" ht="16.5" thickBot="1" x14ac:dyDescent="0.3">
      <c r="B33" s="54" t="s">
        <v>190</v>
      </c>
      <c r="C33" s="55"/>
      <c r="D33" s="55"/>
      <c r="E33" s="101">
        <f>SUM(E24:E32)</f>
        <v>13.609999999999998</v>
      </c>
      <c r="F33" s="56">
        <f>SUM(F24:F32)</f>
        <v>128450.28190019197</v>
      </c>
      <c r="G33" s="57">
        <f>SUM(G24:G32)</f>
        <v>171550.10551919386</v>
      </c>
      <c r="H33" s="38">
        <f>SUM(H24:H32)</f>
        <v>-43099.823619001916</v>
      </c>
      <c r="I33" s="39"/>
      <c r="J33" s="39"/>
    </row>
    <row r="34" spans="2:14" x14ac:dyDescent="0.25">
      <c r="B34" s="17"/>
      <c r="C34" s="17"/>
      <c r="D34" s="17"/>
      <c r="E34" s="86"/>
      <c r="F34" s="86"/>
      <c r="G34" s="86"/>
      <c r="H34" s="82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50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x14ac:dyDescent="0.25">
      <c r="B37" s="93" t="s">
        <v>15</v>
      </c>
      <c r="C37" s="222">
        <f>E37+G37</f>
        <v>736436.18190019194</v>
      </c>
      <c r="D37" s="223"/>
      <c r="E37" s="224">
        <f>F24+F25+F26+F27+F28+F29+F30+F32+E16</f>
        <v>570891.30190019193</v>
      </c>
      <c r="F37" s="225"/>
      <c r="G37" s="224">
        <f>F31+G16</f>
        <v>165544.88</v>
      </c>
      <c r="H37" s="226"/>
      <c r="I37" s="212"/>
      <c r="J37" s="212"/>
      <c r="K37" s="9"/>
      <c r="L37" s="9"/>
      <c r="M37" s="318"/>
    </row>
    <row r="38" spans="2:14" x14ac:dyDescent="0.25">
      <c r="B38" s="94" t="s">
        <v>16</v>
      </c>
      <c r="C38" s="220">
        <f>E38+G38</f>
        <v>727493.12</v>
      </c>
      <c r="D38" s="221"/>
      <c r="E38" s="220">
        <f>E17+101593.65</f>
        <v>564816.06999999995</v>
      </c>
      <c r="F38" s="221"/>
      <c r="G38" s="220">
        <f>G17+33549.04</f>
        <v>162677.05000000002</v>
      </c>
      <c r="H38" s="251"/>
      <c r="I38" s="212"/>
      <c r="J38" s="212"/>
      <c r="K38" s="12"/>
      <c r="L38" s="9"/>
      <c r="M38" s="318"/>
    </row>
    <row r="39" spans="2:14" ht="16.5" thickBot="1" x14ac:dyDescent="0.3">
      <c r="B39" s="95" t="s">
        <v>189</v>
      </c>
      <c r="C39" s="227">
        <f>E39+G39</f>
        <v>678190.09871919395</v>
      </c>
      <c r="D39" s="228"/>
      <c r="E39" s="246">
        <f>G24+G25+G26+G27+G28+G29+G30+G32+E18</f>
        <v>585081.09871919395</v>
      </c>
      <c r="F39" s="247"/>
      <c r="G39" s="246">
        <f>G31+G18</f>
        <v>93109</v>
      </c>
      <c r="H39" s="252"/>
      <c r="I39" s="212"/>
      <c r="J39" s="212" t="s">
        <v>300</v>
      </c>
      <c r="K39" s="44"/>
      <c r="L39" s="44"/>
    </row>
    <row r="40" spans="2:14" ht="30.75" customHeight="1" thickBot="1" x14ac:dyDescent="0.3">
      <c r="B40" s="97" t="s">
        <v>298</v>
      </c>
      <c r="C40" s="216">
        <f>E40+G40</f>
        <v>49303.021280806017</v>
      </c>
      <c r="D40" s="217"/>
      <c r="E40" s="248">
        <f>E38-E39</f>
        <v>-20265.028719194001</v>
      </c>
      <c r="F40" s="254"/>
      <c r="G40" s="248">
        <f>G38-G39</f>
        <v>69568.050000000017</v>
      </c>
      <c r="H40" s="249"/>
      <c r="I40" s="212"/>
      <c r="J40" s="212"/>
      <c r="K40" s="44"/>
      <c r="L40" s="44"/>
    </row>
    <row r="41" spans="2:14" ht="34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205"/>
      <c r="I41" s="205"/>
      <c r="J41" s="205"/>
      <c r="K41" s="4"/>
      <c r="L41" s="4"/>
      <c r="M41" s="316"/>
      <c r="N41" s="316"/>
    </row>
    <row r="42" spans="2:14" ht="11.25" customHeight="1" x14ac:dyDescent="0.25">
      <c r="B42" s="205"/>
      <c r="C42" s="205"/>
      <c r="D42" s="205"/>
      <c r="E42" s="209"/>
      <c r="F42" s="231"/>
      <c r="G42" s="231"/>
      <c r="H42" s="210"/>
      <c r="I42" s="210"/>
      <c r="J42" s="210"/>
      <c r="K42" s="4"/>
      <c r="L42" s="4"/>
      <c r="M42" s="316"/>
      <c r="N42" s="316"/>
    </row>
    <row r="43" spans="2:14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205"/>
      <c r="I43" s="205"/>
      <c r="J43" s="205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0"/>
      <c r="G44" s="230"/>
      <c r="H44" s="205"/>
      <c r="I44" s="205"/>
      <c r="J44" s="205"/>
    </row>
    <row r="45" spans="2:14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205"/>
      <c r="I45" s="205"/>
      <c r="J45" s="205"/>
    </row>
    <row r="46" spans="2:14" ht="8.25" customHeight="1" x14ac:dyDescent="0.25">
      <c r="B46" s="45"/>
      <c r="C46" s="45"/>
      <c r="D46" s="45"/>
      <c r="E46" s="209"/>
      <c r="F46" s="46"/>
      <c r="G46" s="47"/>
      <c r="H46" s="48"/>
      <c r="I46" s="48"/>
      <c r="J46" s="48"/>
    </row>
    <row r="47" spans="2:14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</row>
    <row r="48" spans="2:14" ht="9" customHeight="1" x14ac:dyDescent="0.25">
      <c r="B48" s="49"/>
      <c r="C48" s="49"/>
      <c r="D48" s="49"/>
      <c r="E48" s="209"/>
      <c r="F48" s="229"/>
      <c r="G48" s="229"/>
    </row>
    <row r="49" spans="3:5" x14ac:dyDescent="0.25">
      <c r="C49" s="86"/>
      <c r="E49" s="50"/>
    </row>
  </sheetData>
  <mergeCells count="55">
    <mergeCell ref="C41:E41"/>
    <mergeCell ref="C43:E43"/>
    <mergeCell ref="C45:E45"/>
    <mergeCell ref="C47:E47"/>
    <mergeCell ref="F43:G43"/>
    <mergeCell ref="F44:G44"/>
    <mergeCell ref="F45:G45"/>
    <mergeCell ref="F47:G47"/>
    <mergeCell ref="F48:G48"/>
    <mergeCell ref="F41:G41"/>
    <mergeCell ref="F42:G42"/>
    <mergeCell ref="E40:F40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B14:H14"/>
    <mergeCell ref="E15:F15"/>
    <mergeCell ref="G15:H15"/>
    <mergeCell ref="D5:E5"/>
    <mergeCell ref="B35:H35"/>
    <mergeCell ref="E36:F36"/>
    <mergeCell ref="G36:H36"/>
    <mergeCell ref="C15:D15"/>
    <mergeCell ref="C16:D16"/>
    <mergeCell ref="C17:D17"/>
    <mergeCell ref="C18:D18"/>
    <mergeCell ref="C19:D19"/>
    <mergeCell ref="E19:F19"/>
    <mergeCell ref="G19:H19"/>
    <mergeCell ref="G16:H16"/>
    <mergeCell ref="E17:F17"/>
    <mergeCell ref="G17:H17"/>
    <mergeCell ref="E18:F18"/>
    <mergeCell ref="G18:H18"/>
    <mergeCell ref="E16:F16"/>
    <mergeCell ref="C39:D39"/>
    <mergeCell ref="C40:D40"/>
    <mergeCell ref="M21:M22"/>
    <mergeCell ref="G40:H40"/>
    <mergeCell ref="N21:N22"/>
    <mergeCell ref="C36:D36"/>
    <mergeCell ref="C37:D37"/>
    <mergeCell ref="C38:D38"/>
    <mergeCell ref="E39:F39"/>
    <mergeCell ref="G39:H39"/>
    <mergeCell ref="E38:F38"/>
    <mergeCell ref="G38:H38"/>
    <mergeCell ref="E37:F37"/>
    <mergeCell ref="G37:H37"/>
  </mergeCells>
  <pageMargins left="0.35" right="0.2" top="0.35" bottom="0.24" header="0.31496062992125984" footer="0.24"/>
  <pageSetup paperSize="9" scale="4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9"/>
  <sheetViews>
    <sheetView topLeftCell="A6" zoomScale="110" zoomScaleNormal="110" workbookViewId="0">
      <selection activeCell="M6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5.140625" style="5" customWidth="1"/>
    <col min="3" max="3" width="22.85546875" style="82" customWidth="1"/>
    <col min="4" max="4" width="9" style="82" customWidth="1"/>
    <col min="5" max="5" width="10.7109375" style="82" customWidth="1"/>
    <col min="6" max="6" width="9.42578125" style="5" customWidth="1"/>
    <col min="7" max="7" width="10.28515625" style="5" customWidth="1"/>
    <col min="8" max="8" width="10.42578125" style="5" customWidth="1"/>
    <col min="9" max="9" width="10.7109375" style="5" bestFit="1" customWidth="1"/>
    <col min="10" max="12" width="9.140625" style="5"/>
    <col min="13" max="13" width="13.140625" style="310" customWidth="1"/>
    <col min="14" max="14" width="15.855468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0.25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2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5" t="s">
        <v>0</v>
      </c>
      <c r="D5" s="245" t="s">
        <v>170</v>
      </c>
      <c r="E5" s="245"/>
    </row>
    <row r="6" spans="1:9" x14ac:dyDescent="0.25">
      <c r="B6" s="5" t="s">
        <v>1</v>
      </c>
      <c r="D6" s="208">
        <v>1961</v>
      </c>
      <c r="E6" s="208"/>
    </row>
    <row r="7" spans="1:9" hidden="1" outlineLevel="1" x14ac:dyDescent="0.25">
      <c r="B7" s="5" t="s">
        <v>2</v>
      </c>
      <c r="D7" s="208">
        <v>2</v>
      </c>
      <c r="E7" s="208"/>
    </row>
    <row r="8" spans="1:9" hidden="1" outlineLevel="1" x14ac:dyDescent="0.25">
      <c r="B8" s="5" t="s">
        <v>3</v>
      </c>
      <c r="D8" s="208">
        <v>8</v>
      </c>
      <c r="E8" s="208"/>
    </row>
    <row r="9" spans="1:9" ht="30.75" hidden="1" customHeight="1" outlineLevel="1" x14ac:dyDescent="0.25">
      <c r="B9" s="14" t="s">
        <v>4</v>
      </c>
      <c r="C9" s="79"/>
      <c r="D9" s="208" t="s">
        <v>171</v>
      </c>
      <c r="E9" s="208"/>
    </row>
    <row r="10" spans="1:9" collapsed="1" x14ac:dyDescent="0.25">
      <c r="B10" s="5" t="s">
        <v>5</v>
      </c>
      <c r="D10" s="208" t="s">
        <v>284</v>
      </c>
      <c r="E10" s="208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172</v>
      </c>
      <c r="E12" s="208"/>
      <c r="I12" s="17"/>
    </row>
    <row r="13" spans="1:9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5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241120.40999999997</v>
      </c>
      <c r="D16" s="253"/>
      <c r="E16" s="224">
        <v>193909.83</v>
      </c>
      <c r="F16" s="225"/>
      <c r="G16" s="224">
        <v>47210.58</v>
      </c>
      <c r="H16" s="226"/>
      <c r="I16" s="17"/>
    </row>
    <row r="17" spans="2:14" x14ac:dyDescent="0.25">
      <c r="B17" s="94" t="s">
        <v>16</v>
      </c>
      <c r="C17" s="220">
        <v>211572.49000000002</v>
      </c>
      <c r="D17" s="268"/>
      <c r="E17" s="220">
        <v>169183.93000000002</v>
      </c>
      <c r="F17" s="221"/>
      <c r="G17" s="220">
        <v>42388.56</v>
      </c>
      <c r="H17" s="251"/>
      <c r="I17" s="17"/>
    </row>
    <row r="18" spans="2:14" ht="16.5" thickBot="1" x14ac:dyDescent="0.3">
      <c r="B18" s="95" t="s">
        <v>189</v>
      </c>
      <c r="C18" s="227">
        <v>205889.614</v>
      </c>
      <c r="D18" s="308"/>
      <c r="E18" s="246">
        <v>198540.614</v>
      </c>
      <c r="F18" s="247"/>
      <c r="G18" s="246">
        <v>7349</v>
      </c>
      <c r="H18" s="252"/>
      <c r="I18" s="17"/>
    </row>
    <row r="19" spans="2:14" ht="36.75" thickBot="1" x14ac:dyDescent="0.3">
      <c r="B19" s="97" t="s">
        <v>297</v>
      </c>
      <c r="C19" s="216">
        <f>E19+G19</f>
        <v>5682.8760000000184</v>
      </c>
      <c r="D19" s="217"/>
      <c r="E19" s="248">
        <f>E17-E18</f>
        <v>-29356.683999999979</v>
      </c>
      <c r="F19" s="254"/>
      <c r="G19" s="248">
        <f>G17-G18</f>
        <v>35039.56</v>
      </c>
      <c r="H19" s="249"/>
      <c r="I19" s="17"/>
    </row>
    <row r="20" spans="2:14" x14ac:dyDescent="0.25">
      <c r="B20" s="83"/>
      <c r="C20" s="83"/>
      <c r="D20" s="84"/>
      <c r="E20" s="85"/>
      <c r="F20" s="85"/>
      <c r="G20" s="85"/>
      <c r="H20" s="85"/>
      <c r="I20" s="17"/>
    </row>
    <row r="21" spans="2:14" ht="21.7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27.7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54.7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43687.42</v>
      </c>
      <c r="N23" s="314">
        <f>M23*1.01</f>
        <v>44124.294199999997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0</v>
      </c>
      <c r="F24" s="23">
        <f>$M$23/$M$24*E24</f>
        <v>0</v>
      </c>
      <c r="G24" s="24">
        <f>$N$23/$N$24*E24</f>
        <v>0</v>
      </c>
      <c r="H24" s="25">
        <f>F24-G24</f>
        <v>0</v>
      </c>
      <c r="I24" s="26"/>
      <c r="J24" s="26"/>
      <c r="K24" s="27"/>
      <c r="L24" s="28"/>
      <c r="M24" s="315">
        <f>E33-E31</f>
        <v>10.200000000000003</v>
      </c>
      <c r="N24" s="315">
        <f>E33-E31</f>
        <v>10.200000000000003</v>
      </c>
    </row>
    <row r="25" spans="2:14" ht="51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5096.8656666666648</v>
      </c>
      <c r="G25" s="24">
        <f>$N$23/$N$24*E25</f>
        <v>5147.8343233333308</v>
      </c>
      <c r="H25" s="25">
        <f t="shared" ref="H25:H30" si="0">F25-G25</f>
        <v>-50.968656666665993</v>
      </c>
      <c r="I25" s="26"/>
      <c r="J25" s="26"/>
      <c r="K25" s="4"/>
      <c r="L25" s="4"/>
      <c r="M25" s="316"/>
      <c r="N25" s="316"/>
    </row>
    <row r="26" spans="2:14" ht="52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1370.5857254901957</v>
      </c>
      <c r="G26" s="24">
        <f t="shared" ref="G26:G29" si="2">$N$23/$N$24*E26</f>
        <v>1384.2915827450975</v>
      </c>
      <c r="H26" s="25">
        <f t="shared" si="0"/>
        <v>-13.70585725490173</v>
      </c>
      <c r="I26" s="26"/>
      <c r="J26" s="26"/>
      <c r="L26" s="17"/>
    </row>
    <row r="27" spans="2:14" ht="25.5" x14ac:dyDescent="0.25">
      <c r="B27" s="30" t="s">
        <v>185</v>
      </c>
      <c r="C27" s="31" t="s">
        <v>203</v>
      </c>
      <c r="D27" s="22" t="s">
        <v>201</v>
      </c>
      <c r="E27" s="99">
        <v>0</v>
      </c>
      <c r="F27" s="23">
        <f t="shared" si="1"/>
        <v>0</v>
      </c>
      <c r="G27" s="24">
        <f t="shared" si="2"/>
        <v>0</v>
      </c>
      <c r="H27" s="25">
        <f t="shared" si="0"/>
        <v>0</v>
      </c>
      <c r="I27" s="26"/>
      <c r="J27" s="26"/>
      <c r="L27" s="17"/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5054.0348627450958</v>
      </c>
      <c r="G28" s="24">
        <f t="shared" si="2"/>
        <v>5104.5752113725466</v>
      </c>
      <c r="H28" s="25">
        <f t="shared" si="0"/>
        <v>-50.54034862745084</v>
      </c>
      <c r="I28" s="26"/>
      <c r="J28" s="26"/>
    </row>
    <row r="29" spans="2:14" ht="228.7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24028.080999999995</v>
      </c>
      <c r="G29" s="24">
        <f t="shared" si="2"/>
        <v>24268.361809999991</v>
      </c>
      <c r="H29" s="25">
        <f t="shared" si="0"/>
        <v>-240.28080999999656</v>
      </c>
      <c r="I29" s="26"/>
      <c r="J29" s="26"/>
      <c r="K29" s="4"/>
      <c r="L29" s="3"/>
      <c r="M29" s="316"/>
      <c r="N29" s="316"/>
    </row>
    <row r="30" spans="2:14" ht="108.7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813.78527450980368</v>
      </c>
      <c r="G30" s="24">
        <f t="shared" ref="G30" si="3">$N$23/$N$24*E30</f>
        <v>821.9231272549016</v>
      </c>
      <c r="H30" s="25">
        <f t="shared" si="0"/>
        <v>-8.1378527450979163</v>
      </c>
      <c r="I30" s="26"/>
      <c r="J30" s="26"/>
    </row>
    <row r="31" spans="2:14" ht="45" x14ac:dyDescent="0.25">
      <c r="B31" s="30" t="s">
        <v>206</v>
      </c>
      <c r="C31" s="8" t="s">
        <v>223</v>
      </c>
      <c r="D31" s="22" t="s">
        <v>201</v>
      </c>
      <c r="E31" s="99">
        <v>3.7</v>
      </c>
      <c r="F31" s="23">
        <v>16278.3</v>
      </c>
      <c r="G31" s="6">
        <v>0</v>
      </c>
      <c r="H31" s="25">
        <f>F31-G31</f>
        <v>16278.3</v>
      </c>
      <c r="I31" s="26"/>
      <c r="J31" s="26"/>
      <c r="L31" s="17"/>
    </row>
    <row r="32" spans="2:14" ht="16.5" thickBot="1" x14ac:dyDescent="0.3">
      <c r="B32" s="30" t="s">
        <v>186</v>
      </c>
      <c r="C32" s="52" t="s">
        <v>204</v>
      </c>
      <c r="D32" s="22" t="s">
        <v>201</v>
      </c>
      <c r="E32" s="99">
        <f>1.42+0.29</f>
        <v>1.71</v>
      </c>
      <c r="F32" s="23">
        <f t="shared" si="1"/>
        <v>7324.0674705882329</v>
      </c>
      <c r="G32" s="24">
        <f t="shared" ref="G32" si="4">$N$23/$N$24*E32</f>
        <v>7397.3081452941142</v>
      </c>
      <c r="H32" s="33">
        <f>F32-G32</f>
        <v>-73.240674705881247</v>
      </c>
      <c r="I32" s="26"/>
      <c r="J32" s="26"/>
    </row>
    <row r="33" spans="2:14" ht="16.5" thickBot="1" x14ac:dyDescent="0.3">
      <c r="B33" s="34" t="s">
        <v>190</v>
      </c>
      <c r="C33" s="35"/>
      <c r="D33" s="35"/>
      <c r="E33" s="107">
        <f>SUM(E24:E32)</f>
        <v>13.900000000000002</v>
      </c>
      <c r="F33" s="36">
        <f>SUM(F24:F32)</f>
        <v>59965.719999999994</v>
      </c>
      <c r="G33" s="37">
        <f>SUM(G24:G32)</f>
        <v>44124.294199999982</v>
      </c>
      <c r="H33" s="38">
        <f>SUM(H24:H32)</f>
        <v>15841.425800000005</v>
      </c>
      <c r="I33" s="39"/>
      <c r="J33" s="39"/>
    </row>
    <row r="34" spans="2:14" x14ac:dyDescent="0.25">
      <c r="B34" s="17"/>
      <c r="C34" s="17"/>
      <c r="D34" s="17"/>
      <c r="E34" s="86"/>
      <c r="F34" s="86"/>
      <c r="G34" s="86">
        <f>G33-G31</f>
        <v>44124.294199999982</v>
      </c>
      <c r="H34" s="82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x14ac:dyDescent="0.25">
      <c r="B37" s="93" t="s">
        <v>15</v>
      </c>
      <c r="C37" s="222">
        <f>E37+G37</f>
        <v>301086.13</v>
      </c>
      <c r="D37" s="223"/>
      <c r="E37" s="224">
        <f>F24+F25+F26+F27+F28+F29+F30+F32+E16</f>
        <v>237597.24999999997</v>
      </c>
      <c r="F37" s="225"/>
      <c r="G37" s="224">
        <f>F31+G16</f>
        <v>63488.880000000005</v>
      </c>
      <c r="H37" s="226"/>
      <c r="I37" s="212"/>
      <c r="J37" s="212"/>
      <c r="K37" s="9"/>
      <c r="L37" s="9"/>
      <c r="M37" s="318"/>
    </row>
    <row r="38" spans="2:14" x14ac:dyDescent="0.25">
      <c r="B38" s="94" t="s">
        <v>16</v>
      </c>
      <c r="C38" s="220">
        <f>E38+G38</f>
        <v>264582.43000000005</v>
      </c>
      <c r="D38" s="221"/>
      <c r="E38" s="220">
        <f>E17+38619.86</f>
        <v>207803.79000000004</v>
      </c>
      <c r="F38" s="221"/>
      <c r="G38" s="220">
        <f>G17+14390.08</f>
        <v>56778.64</v>
      </c>
      <c r="H38" s="251"/>
      <c r="I38" s="212"/>
      <c r="J38" s="212"/>
      <c r="K38" s="12"/>
      <c r="L38" s="9"/>
      <c r="M38" s="318"/>
    </row>
    <row r="39" spans="2:14" ht="16.5" thickBot="1" x14ac:dyDescent="0.3">
      <c r="B39" s="95" t="s">
        <v>189</v>
      </c>
      <c r="C39" s="227">
        <f>E39+G39</f>
        <v>250013.90819999998</v>
      </c>
      <c r="D39" s="228"/>
      <c r="E39" s="246">
        <f>G24+G25+G26+G27+G28+G29+G30+G32+E18</f>
        <v>242664.90819999998</v>
      </c>
      <c r="F39" s="247"/>
      <c r="G39" s="246">
        <f>G31+G18</f>
        <v>7349</v>
      </c>
      <c r="H39" s="252"/>
      <c r="I39" s="212"/>
      <c r="J39" s="212"/>
      <c r="K39" s="44"/>
      <c r="L39" s="44"/>
    </row>
    <row r="40" spans="2:14" ht="36.75" thickBot="1" x14ac:dyDescent="0.3">
      <c r="B40" s="97" t="s">
        <v>298</v>
      </c>
      <c r="C40" s="216">
        <f>E40+G40</f>
        <v>14568.52180000006</v>
      </c>
      <c r="D40" s="217"/>
      <c r="E40" s="248">
        <f>E38-E39</f>
        <v>-34861.118199999939</v>
      </c>
      <c r="F40" s="254"/>
      <c r="G40" s="248">
        <f>G38-G39</f>
        <v>49429.64</v>
      </c>
      <c r="H40" s="249"/>
      <c r="I40" s="212"/>
      <c r="J40" s="212"/>
      <c r="K40" s="44"/>
      <c r="L40" s="44"/>
    </row>
    <row r="41" spans="2:14" ht="34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205"/>
      <c r="I41" s="205"/>
      <c r="J41" s="205"/>
      <c r="K41" s="4"/>
      <c r="L41" s="4"/>
      <c r="M41" s="316"/>
      <c r="N41" s="316"/>
    </row>
    <row r="42" spans="2:14" ht="11.25" customHeight="1" x14ac:dyDescent="0.25">
      <c r="B42" s="205"/>
      <c r="C42" s="205"/>
      <c r="D42" s="205"/>
      <c r="E42" s="209"/>
      <c r="F42" s="231"/>
      <c r="G42" s="231"/>
      <c r="H42" s="210"/>
      <c r="I42" s="210"/>
      <c r="J42" s="210"/>
      <c r="K42" s="4"/>
      <c r="L42" s="4"/>
      <c r="M42" s="316"/>
      <c r="N42" s="316"/>
    </row>
    <row r="43" spans="2:14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205"/>
      <c r="I43" s="205"/>
      <c r="J43" s="205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0"/>
      <c r="G44" s="230"/>
      <c r="H44" s="205"/>
      <c r="I44" s="205"/>
      <c r="J44" s="205"/>
    </row>
    <row r="45" spans="2:14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205"/>
      <c r="I45" s="205"/>
      <c r="J45" s="205"/>
    </row>
    <row r="46" spans="2:14" ht="8.25" customHeight="1" x14ac:dyDescent="0.25">
      <c r="B46" s="45"/>
      <c r="C46" s="45"/>
      <c r="D46" s="45"/>
      <c r="E46" s="209"/>
      <c r="F46" s="46"/>
      <c r="G46" s="47"/>
      <c r="H46" s="48"/>
      <c r="I46" s="48"/>
      <c r="J46" s="48"/>
    </row>
    <row r="47" spans="2:14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</row>
    <row r="48" spans="2:14" ht="9" customHeight="1" x14ac:dyDescent="0.25">
      <c r="B48" s="49"/>
      <c r="C48" s="49"/>
      <c r="D48" s="49"/>
      <c r="E48" s="209"/>
      <c r="F48" s="229"/>
      <c r="G48" s="229"/>
    </row>
    <row r="49" spans="3:5" x14ac:dyDescent="0.25">
      <c r="C49" s="86"/>
      <c r="E49" s="50"/>
    </row>
  </sheetData>
  <mergeCells count="55">
    <mergeCell ref="C41:E41"/>
    <mergeCell ref="C43:E43"/>
    <mergeCell ref="C45:E45"/>
    <mergeCell ref="C47:E47"/>
    <mergeCell ref="F41:G41"/>
    <mergeCell ref="F42:G42"/>
    <mergeCell ref="F48:G48"/>
    <mergeCell ref="F45:G45"/>
    <mergeCell ref="F47:G47"/>
    <mergeCell ref="F43:G43"/>
    <mergeCell ref="F44:G44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8:F18"/>
    <mergeCell ref="G18:H18"/>
    <mergeCell ref="E19:F19"/>
    <mergeCell ref="G39:H39"/>
    <mergeCell ref="G40:H40"/>
    <mergeCell ref="E39:F39"/>
    <mergeCell ref="E40:F40"/>
    <mergeCell ref="C39:D39"/>
    <mergeCell ref="C40:D40"/>
    <mergeCell ref="G19:H19"/>
    <mergeCell ref="E16:F16"/>
    <mergeCell ref="G16:H16"/>
    <mergeCell ref="E17:F17"/>
    <mergeCell ref="G17:H17"/>
    <mergeCell ref="C15:D15"/>
    <mergeCell ref="C16:D16"/>
    <mergeCell ref="C17:D17"/>
    <mergeCell ref="C18:D18"/>
    <mergeCell ref="C19:D19"/>
    <mergeCell ref="M21:M22"/>
    <mergeCell ref="N21:N22"/>
    <mergeCell ref="C36:D36"/>
    <mergeCell ref="C37:D37"/>
    <mergeCell ref="C38:D38"/>
    <mergeCell ref="B35:H35"/>
    <mergeCell ref="E36:F36"/>
    <mergeCell ref="G36:H36"/>
    <mergeCell ref="E37:F37"/>
    <mergeCell ref="G37:H37"/>
    <mergeCell ref="E38:F38"/>
    <mergeCell ref="G38:H38"/>
  </mergeCells>
  <pageMargins left="0.32" right="0.42" top="0.16" bottom="0.24" header="0.31496062992125984" footer="0.24"/>
  <pageSetup paperSize="9" scale="48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9"/>
  <sheetViews>
    <sheetView topLeftCell="A13" zoomScale="110" zoomScaleNormal="110" workbookViewId="0">
      <selection activeCell="M13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7" style="5" customWidth="1"/>
    <col min="3" max="3" width="21" style="82" customWidth="1"/>
    <col min="4" max="4" width="9.140625" style="82" customWidth="1"/>
    <col min="5" max="5" width="10.28515625" style="82" customWidth="1"/>
    <col min="6" max="6" width="9.5703125" style="5" customWidth="1"/>
    <col min="7" max="7" width="10.28515625" style="5" customWidth="1"/>
    <col min="8" max="8" width="11" style="5" customWidth="1"/>
    <col min="9" max="9" width="10.7109375" style="5" bestFit="1" customWidth="1"/>
    <col min="10" max="12" width="9.140625" style="5"/>
    <col min="13" max="13" width="14.28515625" style="310" customWidth="1"/>
    <col min="14" max="14" width="13.710937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.75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3.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173</v>
      </c>
      <c r="E5" s="234"/>
      <c r="F5" s="10"/>
    </row>
    <row r="6" spans="1:9" x14ac:dyDescent="0.25">
      <c r="B6" s="10" t="s">
        <v>1</v>
      </c>
      <c r="C6" s="48"/>
      <c r="D6" s="207">
        <v>1960</v>
      </c>
      <c r="E6" s="207"/>
      <c r="F6" s="10"/>
    </row>
    <row r="7" spans="1:9" hidden="1" outlineLevel="1" x14ac:dyDescent="0.25">
      <c r="B7" s="10" t="s">
        <v>2</v>
      </c>
      <c r="C7" s="48"/>
      <c r="D7" s="207">
        <v>2</v>
      </c>
      <c r="E7" s="207"/>
      <c r="F7" s="10"/>
    </row>
    <row r="8" spans="1:9" hidden="1" outlineLevel="1" x14ac:dyDescent="0.25">
      <c r="B8" s="10" t="s">
        <v>3</v>
      </c>
      <c r="C8" s="48"/>
      <c r="D8" s="207">
        <v>8</v>
      </c>
      <c r="E8" s="207"/>
      <c r="F8" s="10"/>
    </row>
    <row r="9" spans="1:9" ht="30.75" hidden="1" customHeight="1" outlineLevel="1" x14ac:dyDescent="0.25">
      <c r="B9" s="122" t="s">
        <v>4</v>
      </c>
      <c r="C9" s="133"/>
      <c r="D9" s="207" t="s">
        <v>215</v>
      </c>
      <c r="E9" s="207"/>
      <c r="F9" s="10"/>
    </row>
    <row r="10" spans="1:9" collapsed="1" x14ac:dyDescent="0.25">
      <c r="B10" s="10" t="s">
        <v>5</v>
      </c>
      <c r="C10" s="48"/>
      <c r="D10" s="207" t="s">
        <v>285</v>
      </c>
      <c r="E10" s="207"/>
      <c r="F10" s="10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174</v>
      </c>
      <c r="E12" s="208"/>
      <c r="I12" s="17"/>
    </row>
    <row r="13" spans="1:9" ht="9.7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1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216098.59000000003</v>
      </c>
      <c r="D16" s="253"/>
      <c r="E16" s="224">
        <v>179944.26</v>
      </c>
      <c r="F16" s="225"/>
      <c r="G16" s="224">
        <v>36154.33</v>
      </c>
      <c r="H16" s="226"/>
      <c r="I16" s="17"/>
    </row>
    <row r="17" spans="2:14" x14ac:dyDescent="0.25">
      <c r="B17" s="94" t="s">
        <v>16</v>
      </c>
      <c r="C17" s="220">
        <v>211249.33</v>
      </c>
      <c r="D17" s="268"/>
      <c r="E17" s="220">
        <v>175301.15</v>
      </c>
      <c r="F17" s="221"/>
      <c r="G17" s="220">
        <v>35948.18</v>
      </c>
      <c r="H17" s="251"/>
      <c r="I17" s="17"/>
    </row>
    <row r="18" spans="2:14" ht="16.5" thickBot="1" x14ac:dyDescent="0.3">
      <c r="B18" s="95" t="s">
        <v>189</v>
      </c>
      <c r="C18" s="227">
        <v>249646.95640000002</v>
      </c>
      <c r="D18" s="308"/>
      <c r="E18" s="246">
        <v>191899.95640000002</v>
      </c>
      <c r="F18" s="247"/>
      <c r="G18" s="246">
        <v>57747</v>
      </c>
      <c r="H18" s="252"/>
      <c r="I18" s="17"/>
    </row>
    <row r="19" spans="2:14" ht="30" customHeight="1" thickBot="1" x14ac:dyDescent="0.3">
      <c r="B19" s="97" t="s">
        <v>297</v>
      </c>
      <c r="C19" s="216">
        <f>E19+G19</f>
        <v>-38397.62640000003</v>
      </c>
      <c r="D19" s="217"/>
      <c r="E19" s="248">
        <f>E17-E18</f>
        <v>-16598.80640000003</v>
      </c>
      <c r="F19" s="254"/>
      <c r="G19" s="248">
        <f>G17-G18</f>
        <v>-21798.82</v>
      </c>
      <c r="H19" s="249"/>
      <c r="I19" s="17"/>
    </row>
    <row r="20" spans="2:14" ht="11.25" customHeight="1" x14ac:dyDescent="0.25">
      <c r="B20" s="14"/>
      <c r="C20" s="79"/>
      <c r="D20" s="91"/>
      <c r="E20" s="208"/>
      <c r="I20" s="17"/>
    </row>
    <row r="21" spans="2:14" ht="19.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27.7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54.7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34444.43</v>
      </c>
      <c r="N23" s="314">
        <f>M23*1.01</f>
        <v>34788.874300000003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0</v>
      </c>
      <c r="F24" s="23">
        <f>$M$23/$M$24*E24</f>
        <v>0</v>
      </c>
      <c r="G24" s="24">
        <f>$N$23/$N$24*E24</f>
        <v>0</v>
      </c>
      <c r="H24" s="25">
        <f>F24-G24</f>
        <v>0</v>
      </c>
      <c r="I24" s="26"/>
      <c r="J24" s="26"/>
      <c r="K24" s="27"/>
      <c r="L24" s="28"/>
      <c r="M24" s="315">
        <f>E33-E31</f>
        <v>8.8800000000000008</v>
      </c>
      <c r="N24" s="315">
        <f>E33-E31</f>
        <v>8.8800000000000008</v>
      </c>
    </row>
    <row r="25" spans="2:14" ht="56.25" x14ac:dyDescent="0.25">
      <c r="B25" s="29" t="s">
        <v>202</v>
      </c>
      <c r="C25" s="8" t="s">
        <v>223</v>
      </c>
      <c r="D25" s="22" t="s">
        <v>201</v>
      </c>
      <c r="E25" s="99">
        <v>0</v>
      </c>
      <c r="F25" s="23">
        <f>$M$23/$M$24*E25</f>
        <v>0</v>
      </c>
      <c r="G25" s="24">
        <f>$N$23/$N$24*E25</f>
        <v>0</v>
      </c>
      <c r="H25" s="25">
        <f t="shared" ref="H25:H30" si="0">F25-G25</f>
        <v>0</v>
      </c>
      <c r="I25" s="26"/>
      <c r="J25" s="26"/>
      <c r="K25" s="4"/>
      <c r="L25" s="4"/>
      <c r="M25" s="316"/>
      <c r="N25" s="316"/>
    </row>
    <row r="26" spans="2:14" ht="52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1241.2407207207207</v>
      </c>
      <c r="G26" s="24">
        <f t="shared" ref="G26:G29" si="2">$N$23/$N$24*E26</f>
        <v>1253.6531279279279</v>
      </c>
      <c r="H26" s="25">
        <f t="shared" si="0"/>
        <v>-12.412407207207252</v>
      </c>
      <c r="I26" s="26"/>
      <c r="J26" s="26"/>
      <c r="L26" s="17"/>
    </row>
    <row r="27" spans="2:14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323.239771021021</v>
      </c>
      <c r="G27" s="24">
        <f>($N$23/12*2)/$N$24*E27</f>
        <v>326.47216873123119</v>
      </c>
      <c r="H27" s="25">
        <f t="shared" si="0"/>
        <v>-3.2323977102101935</v>
      </c>
      <c r="I27" s="26"/>
      <c r="J27" s="26"/>
      <c r="L27" s="17"/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4577.0751576576567</v>
      </c>
      <c r="G28" s="24">
        <f t="shared" si="2"/>
        <v>4622.8459092342346</v>
      </c>
      <c r="H28" s="25">
        <f t="shared" si="0"/>
        <v>-45.770751576577823</v>
      </c>
      <c r="I28" s="26"/>
      <c r="J28" s="26"/>
    </row>
    <row r="29" spans="2:14" ht="145.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21760.501385135132</v>
      </c>
      <c r="G29" s="24">
        <f t="shared" si="2"/>
        <v>21978.106398986489</v>
      </c>
      <c r="H29" s="25">
        <f t="shared" si="0"/>
        <v>-217.60501385135649</v>
      </c>
      <c r="I29" s="26"/>
      <c r="J29" s="26"/>
      <c r="K29" s="4"/>
      <c r="L29" s="3"/>
      <c r="M29" s="316"/>
      <c r="N29" s="316"/>
    </row>
    <row r="30" spans="2:14" ht="108.7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736.98667792792787</v>
      </c>
      <c r="G30" s="24">
        <f t="shared" ref="G30" si="3">$N$23/$N$24*E30</f>
        <v>744.35654470720726</v>
      </c>
      <c r="H30" s="25">
        <f t="shared" si="0"/>
        <v>-7.3698667792793913</v>
      </c>
      <c r="I30" s="26"/>
      <c r="J30" s="26"/>
    </row>
    <row r="31" spans="2:14" ht="56.25" x14ac:dyDescent="0.25">
      <c r="B31" s="30" t="s">
        <v>206</v>
      </c>
      <c r="C31" s="8" t="s">
        <v>223</v>
      </c>
      <c r="D31" s="22" t="s">
        <v>201</v>
      </c>
      <c r="E31" s="99">
        <v>3.19</v>
      </c>
      <c r="F31" s="23">
        <v>16481.23</v>
      </c>
      <c r="G31" s="6">
        <v>5184</v>
      </c>
      <c r="H31" s="25">
        <f>F31-G31</f>
        <v>11297.23</v>
      </c>
      <c r="I31" s="26"/>
      <c r="J31" s="26"/>
      <c r="L31" s="17"/>
    </row>
    <row r="32" spans="2:14" ht="16.5" thickBot="1" x14ac:dyDescent="0.3">
      <c r="B32" s="30" t="s">
        <v>186</v>
      </c>
      <c r="C32" s="52" t="s">
        <v>204</v>
      </c>
      <c r="D32" s="22" t="s">
        <v>201</v>
      </c>
      <c r="E32" s="99">
        <f>0.37+0.71</f>
        <v>1.08</v>
      </c>
      <c r="F32" s="23">
        <f t="shared" si="1"/>
        <v>4189.1874324324326</v>
      </c>
      <c r="G32" s="24">
        <f t="shared" ref="G32" si="4">$N$23/$N$24*E32</f>
        <v>4231.0793067567574</v>
      </c>
      <c r="H32" s="33">
        <f>F32-G32</f>
        <v>-41.891874324324817</v>
      </c>
      <c r="I32" s="26"/>
      <c r="J32" s="26"/>
    </row>
    <row r="33" spans="2:14" ht="16.5" thickBot="1" x14ac:dyDescent="0.3">
      <c r="B33" s="34" t="s">
        <v>190</v>
      </c>
      <c r="C33" s="35"/>
      <c r="D33" s="35"/>
      <c r="E33" s="107">
        <f>SUM(E24:E32)</f>
        <v>12.07</v>
      </c>
      <c r="F33" s="36">
        <f>SUM(F24:F32)</f>
        <v>49309.461144894885</v>
      </c>
      <c r="G33" s="37">
        <f>SUM(G24:G32)</f>
        <v>38340.513456343848</v>
      </c>
      <c r="H33" s="38">
        <f>SUM(H24:H32)</f>
        <v>10968.947688551043</v>
      </c>
      <c r="I33" s="39"/>
      <c r="J33" s="39"/>
    </row>
    <row r="34" spans="2:14" x14ac:dyDescent="0.25">
      <c r="B34" s="17"/>
      <c r="C34" s="17"/>
      <c r="D34" s="17"/>
      <c r="E34" s="86"/>
      <c r="F34" s="86"/>
      <c r="G34" s="86"/>
      <c r="H34" s="82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x14ac:dyDescent="0.25">
      <c r="B37" s="93" t="s">
        <v>15</v>
      </c>
      <c r="C37" s="222">
        <f>E37+G37</f>
        <v>265408.05114489491</v>
      </c>
      <c r="D37" s="223"/>
      <c r="E37" s="224">
        <f>F24+F25+F26+F27+F28+F29+F30+F32+E16</f>
        <v>212772.49114489491</v>
      </c>
      <c r="F37" s="225"/>
      <c r="G37" s="224">
        <f>F31+G16</f>
        <v>52635.56</v>
      </c>
      <c r="H37" s="226"/>
      <c r="I37" s="212"/>
      <c r="J37" s="212"/>
      <c r="K37" s="9"/>
      <c r="L37" s="9"/>
      <c r="M37" s="318"/>
    </row>
    <row r="38" spans="2:14" x14ac:dyDescent="0.25">
      <c r="B38" s="94" t="s">
        <v>16</v>
      </c>
      <c r="C38" s="220">
        <f>E38+G38</f>
        <v>263040.67</v>
      </c>
      <c r="D38" s="221"/>
      <c r="E38" s="220">
        <f>E17+35029.95</f>
        <v>210331.09999999998</v>
      </c>
      <c r="F38" s="221"/>
      <c r="G38" s="220">
        <f>G17+16761.39</f>
        <v>52709.57</v>
      </c>
      <c r="H38" s="251"/>
      <c r="I38" s="212"/>
      <c r="J38" s="212"/>
      <c r="K38" s="12"/>
      <c r="L38" s="9"/>
      <c r="M38" s="318"/>
    </row>
    <row r="39" spans="2:14" ht="16.5" thickBot="1" x14ac:dyDescent="0.3">
      <c r="B39" s="95" t="s">
        <v>189</v>
      </c>
      <c r="C39" s="227">
        <f>E39+G39</f>
        <v>287987.46985634387</v>
      </c>
      <c r="D39" s="228"/>
      <c r="E39" s="246">
        <f>G24+G25+G26+G27+G28+G29+G30+G32+E18</f>
        <v>225056.46985634387</v>
      </c>
      <c r="F39" s="247"/>
      <c r="G39" s="246">
        <f>G31+G18</f>
        <v>62931</v>
      </c>
      <c r="H39" s="252"/>
      <c r="I39" s="212"/>
      <c r="J39" s="212"/>
      <c r="K39" s="44"/>
      <c r="L39" s="44"/>
    </row>
    <row r="40" spans="2:14" ht="25.5" thickBot="1" x14ac:dyDescent="0.3">
      <c r="B40" s="97" t="s">
        <v>298</v>
      </c>
      <c r="C40" s="216">
        <f>E40+G40</f>
        <v>-24946.799856343896</v>
      </c>
      <c r="D40" s="217"/>
      <c r="E40" s="248">
        <f>E38-E39</f>
        <v>-14725.369856343896</v>
      </c>
      <c r="F40" s="254"/>
      <c r="G40" s="248">
        <f>G38-G39</f>
        <v>-10221.43</v>
      </c>
      <c r="H40" s="249"/>
      <c r="I40" s="212"/>
      <c r="J40" s="212"/>
      <c r="K40" s="44"/>
      <c r="L40" s="44"/>
    </row>
    <row r="41" spans="2:14" ht="34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205"/>
      <c r="I41" s="205"/>
      <c r="J41" s="205"/>
      <c r="K41" s="4"/>
      <c r="L41" s="4"/>
      <c r="M41" s="316"/>
      <c r="N41" s="316"/>
    </row>
    <row r="42" spans="2:14" ht="11.25" customHeight="1" x14ac:dyDescent="0.25">
      <c r="B42" s="205"/>
      <c r="C42" s="205"/>
      <c r="D42" s="205"/>
      <c r="E42" s="209"/>
      <c r="F42" s="231"/>
      <c r="G42" s="231"/>
      <c r="H42" s="210"/>
      <c r="I42" s="210"/>
      <c r="J42" s="210"/>
      <c r="K42" s="4"/>
      <c r="L42" s="4"/>
      <c r="M42" s="316"/>
      <c r="N42" s="316"/>
    </row>
    <row r="43" spans="2:14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205"/>
      <c r="I43" s="205"/>
      <c r="J43" s="205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0"/>
      <c r="G44" s="230"/>
      <c r="H44" s="205"/>
      <c r="I44" s="205"/>
      <c r="J44" s="205"/>
    </row>
    <row r="45" spans="2:14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205"/>
      <c r="I45" s="205"/>
      <c r="J45" s="205"/>
    </row>
    <row r="46" spans="2:14" ht="8.25" customHeight="1" x14ac:dyDescent="0.25">
      <c r="B46" s="45"/>
      <c r="C46" s="45"/>
      <c r="D46" s="45"/>
      <c r="E46" s="209"/>
      <c r="F46" s="46"/>
      <c r="G46" s="47"/>
      <c r="H46" s="48"/>
      <c r="I46" s="48"/>
      <c r="J46" s="48"/>
    </row>
    <row r="47" spans="2:14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</row>
    <row r="48" spans="2:14" ht="9" customHeight="1" x14ac:dyDescent="0.25">
      <c r="B48" s="49"/>
      <c r="C48" s="49"/>
      <c r="D48" s="49"/>
      <c r="E48" s="209"/>
      <c r="F48" s="229"/>
      <c r="G48" s="229"/>
    </row>
    <row r="49" spans="3:5" x14ac:dyDescent="0.25">
      <c r="C49" s="86"/>
      <c r="E49" s="50"/>
    </row>
  </sheetData>
  <mergeCells count="55">
    <mergeCell ref="C41:E41"/>
    <mergeCell ref="C43:E43"/>
    <mergeCell ref="C45:E45"/>
    <mergeCell ref="C47:E47"/>
    <mergeCell ref="B14:H14"/>
    <mergeCell ref="E19:F19"/>
    <mergeCell ref="F45:G45"/>
    <mergeCell ref="F47:G47"/>
    <mergeCell ref="G39:H39"/>
    <mergeCell ref="C39:D39"/>
    <mergeCell ref="G17:H17"/>
    <mergeCell ref="E18:F18"/>
    <mergeCell ref="G18:H18"/>
    <mergeCell ref="C15:D15"/>
    <mergeCell ref="C16:D16"/>
    <mergeCell ref="C17:D17"/>
    <mergeCell ref="F48:G48"/>
    <mergeCell ref="F41:G41"/>
    <mergeCell ref="F42:G42"/>
    <mergeCell ref="F43:G43"/>
    <mergeCell ref="F44:G44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E15:F15"/>
    <mergeCell ref="G15:H15"/>
    <mergeCell ref="E16:F16"/>
    <mergeCell ref="G16:H16"/>
    <mergeCell ref="D5:E5"/>
    <mergeCell ref="G19:H19"/>
    <mergeCell ref="E17:F17"/>
    <mergeCell ref="C18:D18"/>
    <mergeCell ref="C19:D19"/>
    <mergeCell ref="C40:D40"/>
    <mergeCell ref="M21:M22"/>
    <mergeCell ref="G40:H40"/>
    <mergeCell ref="E40:F40"/>
    <mergeCell ref="E39:F39"/>
    <mergeCell ref="N21:N22"/>
    <mergeCell ref="C36:D36"/>
    <mergeCell ref="C37:D37"/>
    <mergeCell ref="C38:D38"/>
    <mergeCell ref="E38:F38"/>
    <mergeCell ref="G38:H38"/>
    <mergeCell ref="B35:H35"/>
    <mergeCell ref="E36:F36"/>
    <mergeCell ref="G36:H36"/>
    <mergeCell ref="E37:F37"/>
    <mergeCell ref="G37:H37"/>
  </mergeCells>
  <printOptions horizontalCentered="1"/>
  <pageMargins left="0.31496062992125984" right="0.19685039370078741" top="0.15748031496062992" bottom="0.23622047244094491" header="0.16" footer="0.25"/>
  <pageSetup paperSize="9" scale="5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8"/>
  <sheetViews>
    <sheetView topLeftCell="A10" zoomScale="110" zoomScaleNormal="110" workbookViewId="0">
      <selection activeCell="M10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7.42578125" style="5" customWidth="1"/>
    <col min="3" max="3" width="21.7109375" style="82" customWidth="1"/>
    <col min="4" max="4" width="9.28515625" style="82" customWidth="1"/>
    <col min="5" max="5" width="10.28515625" style="82" customWidth="1"/>
    <col min="6" max="6" width="10.140625" style="5" customWidth="1"/>
    <col min="7" max="7" width="10.28515625" style="5" customWidth="1"/>
    <col min="8" max="8" width="10.7109375" style="5" customWidth="1"/>
    <col min="9" max="9" width="10.7109375" style="5" bestFit="1" customWidth="1"/>
    <col min="10" max="11" width="9.140625" style="5"/>
    <col min="12" max="12" width="12.28515625" style="5" customWidth="1"/>
    <col min="13" max="13" width="14.5703125" style="310" customWidth="1"/>
    <col min="14" max="14" width="17.140625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8.2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175</v>
      </c>
      <c r="E5" s="234"/>
      <c r="F5" s="10"/>
    </row>
    <row r="6" spans="1:9" x14ac:dyDescent="0.25">
      <c r="B6" s="10" t="s">
        <v>1</v>
      </c>
      <c r="C6" s="48"/>
      <c r="D6" s="207">
        <v>1961</v>
      </c>
      <c r="E6" s="207"/>
      <c r="F6" s="10"/>
    </row>
    <row r="7" spans="1:9" hidden="1" outlineLevel="1" x14ac:dyDescent="0.25">
      <c r="B7" s="10" t="s">
        <v>2</v>
      </c>
      <c r="C7" s="48"/>
      <c r="D7" s="207">
        <v>2</v>
      </c>
      <c r="E7" s="207"/>
      <c r="F7" s="10"/>
    </row>
    <row r="8" spans="1:9" hidden="1" outlineLevel="1" x14ac:dyDescent="0.25">
      <c r="B8" s="10" t="s">
        <v>3</v>
      </c>
      <c r="C8" s="48"/>
      <c r="D8" s="207">
        <v>8</v>
      </c>
      <c r="E8" s="207"/>
      <c r="F8" s="10"/>
    </row>
    <row r="9" spans="1:9" ht="30.75" hidden="1" customHeight="1" outlineLevel="1" x14ac:dyDescent="0.25">
      <c r="B9" s="122" t="s">
        <v>4</v>
      </c>
      <c r="C9" s="133"/>
      <c r="D9" s="207" t="s">
        <v>176</v>
      </c>
      <c r="E9" s="207"/>
      <c r="F9" s="10"/>
    </row>
    <row r="10" spans="1:9" collapsed="1" x14ac:dyDescent="0.25">
      <c r="B10" s="10" t="s">
        <v>5</v>
      </c>
      <c r="C10" s="48"/>
      <c r="D10" s="207" t="s">
        <v>286</v>
      </c>
      <c r="E10" s="207"/>
      <c r="F10" s="10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177</v>
      </c>
      <c r="E12" s="208"/>
      <c r="I12" s="17"/>
    </row>
    <row r="13" spans="1:9" ht="9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44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284953.96000000002</v>
      </c>
      <c r="D16" s="253"/>
      <c r="E16" s="224">
        <v>191312.25</v>
      </c>
      <c r="F16" s="225"/>
      <c r="G16" s="224">
        <v>93641.71</v>
      </c>
      <c r="H16" s="226"/>
      <c r="I16" s="17"/>
    </row>
    <row r="17" spans="2:14" x14ac:dyDescent="0.25">
      <c r="B17" s="94" t="s">
        <v>16</v>
      </c>
      <c r="C17" s="220">
        <v>283169.84999999998</v>
      </c>
      <c r="D17" s="268"/>
      <c r="E17" s="220">
        <v>189948.97</v>
      </c>
      <c r="F17" s="221"/>
      <c r="G17" s="220">
        <v>93220.88</v>
      </c>
      <c r="H17" s="251"/>
      <c r="I17" s="17"/>
    </row>
    <row r="18" spans="2:14" ht="16.5" thickBot="1" x14ac:dyDescent="0.3">
      <c r="B18" s="95" t="s">
        <v>189</v>
      </c>
      <c r="C18" s="227">
        <v>307707.98600000003</v>
      </c>
      <c r="D18" s="308"/>
      <c r="E18" s="246">
        <v>200353.98600000003</v>
      </c>
      <c r="F18" s="247"/>
      <c r="G18" s="246">
        <v>107354</v>
      </c>
      <c r="H18" s="252"/>
      <c r="I18" s="17"/>
    </row>
    <row r="19" spans="2:14" ht="27.75" customHeight="1" thickBot="1" x14ac:dyDescent="0.3">
      <c r="B19" s="97" t="s">
        <v>297</v>
      </c>
      <c r="C19" s="216">
        <f>E19+G19</f>
        <v>-24538.136000000028</v>
      </c>
      <c r="D19" s="217"/>
      <c r="E19" s="248">
        <f>E17-E18</f>
        <v>-10405.016000000032</v>
      </c>
      <c r="F19" s="254"/>
      <c r="G19" s="248">
        <f>G17-G18</f>
        <v>-14133.119999999995</v>
      </c>
      <c r="H19" s="249"/>
      <c r="I19" s="17"/>
    </row>
    <row r="20" spans="2:14" x14ac:dyDescent="0.25">
      <c r="B20" s="14"/>
      <c r="C20" s="79"/>
      <c r="D20" s="91"/>
      <c r="E20" s="208"/>
      <c r="I20" s="17"/>
    </row>
    <row r="21" spans="2:14" ht="21.7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33.7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4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38135.699999999997</v>
      </c>
      <c r="N23" s="314">
        <f>M23*1.01</f>
        <v>38517.057000000001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4309.5780383795309</v>
      </c>
      <c r="G24" s="24">
        <f>$N$23/$N$24*E24</f>
        <v>4352.6738187633273</v>
      </c>
      <c r="H24" s="25">
        <f>F24-G24</f>
        <v>-43.095780383796409</v>
      </c>
      <c r="I24" s="26"/>
      <c r="J24" s="26"/>
      <c r="K24" s="27"/>
      <c r="L24" s="28"/>
      <c r="M24" s="315">
        <f>E33-E31</f>
        <v>9.379999999999999</v>
      </c>
      <c r="N24" s="315">
        <f>E33-E31</f>
        <v>9.379999999999999</v>
      </c>
    </row>
    <row r="25" spans="2:14" ht="56.25" x14ac:dyDescent="0.25">
      <c r="B25" s="29" t="s">
        <v>202</v>
      </c>
      <c r="C25" s="8" t="s">
        <v>223</v>
      </c>
      <c r="D25" s="22" t="s">
        <v>201</v>
      </c>
      <c r="E25" s="99">
        <v>1.19</v>
      </c>
      <c r="F25" s="23">
        <f>$M$23/$M$24*E25</f>
        <v>4838.1111940298506</v>
      </c>
      <c r="G25" s="24">
        <f>$N$23/$N$24*E25</f>
        <v>4886.4923059701505</v>
      </c>
      <c r="H25" s="25">
        <f t="shared" ref="H25:H30" si="0">F25-G25</f>
        <v>-48.381111940299888</v>
      </c>
      <c r="I25" s="26"/>
      <c r="J25" s="26"/>
      <c r="K25" s="4"/>
      <c r="L25" s="4"/>
      <c r="M25" s="316"/>
      <c r="N25" s="316"/>
    </row>
    <row r="26" spans="2:14" ht="52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1301.0046908315564</v>
      </c>
      <c r="G26" s="24">
        <f t="shared" ref="G26:G29" si="2">$N$23/$N$24*E26</f>
        <v>1314.0147377398723</v>
      </c>
      <c r="H26" s="25">
        <f t="shared" si="0"/>
        <v>-13.010046908315871</v>
      </c>
      <c r="I26" s="26"/>
      <c r="J26" s="26"/>
      <c r="L26" s="17"/>
    </row>
    <row r="27" spans="2:14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338.80330490405117</v>
      </c>
      <c r="G27" s="24">
        <f>($N$23/12*2)/$N$24*E27</f>
        <v>342.1913379530917</v>
      </c>
      <c r="H27" s="25">
        <f t="shared" si="0"/>
        <v>-3.3880330490405299</v>
      </c>
      <c r="I27" s="26"/>
      <c r="J27" s="26"/>
      <c r="L27" s="17"/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4797.4547974413645</v>
      </c>
      <c r="G28" s="24">
        <f t="shared" si="2"/>
        <v>4845.4293454157787</v>
      </c>
      <c r="H28" s="25">
        <f t="shared" si="0"/>
        <v>-47.974547974414236</v>
      </c>
      <c r="I28" s="26"/>
      <c r="J28" s="26"/>
    </row>
    <row r="29" spans="2:14" ht="210" customHeight="1" x14ac:dyDescent="0.25">
      <c r="B29" s="29" t="s">
        <v>219</v>
      </c>
      <c r="C29" s="32" t="s">
        <v>204</v>
      </c>
      <c r="D29" s="22" t="s">
        <v>201</v>
      </c>
      <c r="E29" s="99">
        <v>4.25</v>
      </c>
      <c r="F29" s="23">
        <f t="shared" si="1"/>
        <v>17278.968550106609</v>
      </c>
      <c r="G29" s="24">
        <f t="shared" si="2"/>
        <v>17451.758235607678</v>
      </c>
      <c r="H29" s="25">
        <f t="shared" si="0"/>
        <v>-172.78968550106947</v>
      </c>
      <c r="I29" s="26"/>
      <c r="J29" s="26"/>
      <c r="K29" s="4"/>
      <c r="L29" s="3"/>
      <c r="M29" s="316"/>
      <c r="N29" s="316"/>
    </row>
    <row r="30" spans="2:14" ht="108.75" customHeight="1" x14ac:dyDescent="0.25">
      <c r="B30" s="29" t="s">
        <v>205</v>
      </c>
      <c r="C30" s="8" t="s">
        <v>223</v>
      </c>
      <c r="D30" s="22" t="s">
        <v>201</v>
      </c>
      <c r="E30" s="99">
        <v>0.19</v>
      </c>
      <c r="F30" s="23">
        <f t="shared" si="1"/>
        <v>772.47153518123673</v>
      </c>
      <c r="G30" s="24">
        <f t="shared" ref="G30" si="3">$N$23/$N$24*E30</f>
        <v>780.19625053304924</v>
      </c>
      <c r="H30" s="25">
        <f t="shared" si="0"/>
        <v>-7.724715351812506</v>
      </c>
      <c r="I30" s="26"/>
      <c r="J30" s="26"/>
    </row>
    <row r="31" spans="2:14" ht="56.25" x14ac:dyDescent="0.25">
      <c r="B31" s="30" t="s">
        <v>206</v>
      </c>
      <c r="C31" s="8" t="s">
        <v>223</v>
      </c>
      <c r="D31" s="22" t="s">
        <v>201</v>
      </c>
      <c r="E31" s="99">
        <v>5.0599999999999996</v>
      </c>
      <c r="F31" s="23">
        <v>22411.919999999998</v>
      </c>
      <c r="G31" s="6"/>
      <c r="H31" s="25">
        <f>F31-G31</f>
        <v>22411.919999999998</v>
      </c>
      <c r="I31" s="26"/>
      <c r="J31" s="26"/>
      <c r="L31" s="17"/>
    </row>
    <row r="32" spans="2:14" ht="16.5" thickBot="1" x14ac:dyDescent="0.3">
      <c r="B32" s="30" t="s">
        <v>186</v>
      </c>
      <c r="C32" s="52" t="s">
        <v>204</v>
      </c>
      <c r="D32" s="22" t="s">
        <v>201</v>
      </c>
      <c r="E32" s="99">
        <f>0.42+0.27</f>
        <v>0.69</v>
      </c>
      <c r="F32" s="23">
        <f t="shared" si="1"/>
        <v>2805.2913646055435</v>
      </c>
      <c r="G32" s="24">
        <f t="shared" ref="G32" si="4">$N$23/$N$24*E32</f>
        <v>2833.3442782515995</v>
      </c>
      <c r="H32" s="33">
        <f>F32-G32</f>
        <v>-28.052913646055913</v>
      </c>
      <c r="I32" s="26"/>
      <c r="J32" s="26"/>
    </row>
    <row r="33" spans="2:14" ht="16.5" thickBot="1" x14ac:dyDescent="0.3">
      <c r="B33" s="34" t="s">
        <v>190</v>
      </c>
      <c r="C33" s="35"/>
      <c r="D33" s="35"/>
      <c r="E33" s="107">
        <f>SUM(E24:E32)</f>
        <v>14.44</v>
      </c>
      <c r="F33" s="36">
        <f>SUM(F24:F32)</f>
        <v>58853.603475479737</v>
      </c>
      <c r="G33" s="37">
        <f>SUM(G24:G32)</f>
        <v>36806.100310234549</v>
      </c>
      <c r="H33" s="38">
        <f>SUM(H24:H32)</f>
        <v>22047.503165245191</v>
      </c>
      <c r="I33" s="39"/>
      <c r="J33" s="39"/>
    </row>
    <row r="34" spans="2:14" x14ac:dyDescent="0.25">
      <c r="B34" s="17"/>
      <c r="C34" s="17"/>
      <c r="D34" s="17"/>
      <c r="E34" s="86"/>
      <c r="F34" s="86"/>
      <c r="G34" s="86"/>
      <c r="H34" s="82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x14ac:dyDescent="0.25">
      <c r="B37" s="93" t="s">
        <v>15</v>
      </c>
      <c r="C37" s="222">
        <f>E37+G37</f>
        <v>343807.56347547972</v>
      </c>
      <c r="D37" s="223"/>
      <c r="E37" s="224">
        <f>F24+F25+F26+F27+F28+F29+F30+F32+E16</f>
        <v>227753.93347547975</v>
      </c>
      <c r="F37" s="225"/>
      <c r="G37" s="224">
        <f>F31+G16</f>
        <v>116053.63</v>
      </c>
      <c r="H37" s="226"/>
      <c r="I37" s="212"/>
      <c r="J37" s="212"/>
      <c r="K37" s="9"/>
      <c r="L37" s="9"/>
      <c r="M37" s="318"/>
    </row>
    <row r="38" spans="2:14" x14ac:dyDescent="0.25">
      <c r="B38" s="94" t="s">
        <v>16</v>
      </c>
      <c r="C38" s="220">
        <f>E38+G38</f>
        <v>343819.36</v>
      </c>
      <c r="D38" s="221"/>
      <c r="E38" s="220">
        <f>E17+38199.87</f>
        <v>228148.84</v>
      </c>
      <c r="F38" s="221"/>
      <c r="G38" s="220">
        <f>G17+22449.64</f>
        <v>115670.52</v>
      </c>
      <c r="H38" s="251"/>
      <c r="I38" s="212"/>
      <c r="J38" s="212"/>
      <c r="K38" s="12"/>
      <c r="L38" s="9"/>
      <c r="M38" s="318"/>
    </row>
    <row r="39" spans="2:14" ht="16.5" thickBot="1" x14ac:dyDescent="0.3">
      <c r="B39" s="95" t="s">
        <v>189</v>
      </c>
      <c r="C39" s="227">
        <f>E39+G39</f>
        <v>344514.08631023462</v>
      </c>
      <c r="D39" s="228"/>
      <c r="E39" s="246">
        <f>G24+G25+G26+G27+G28+G29+G30+G32+E18</f>
        <v>237160.08631023459</v>
      </c>
      <c r="F39" s="247"/>
      <c r="G39" s="246">
        <f>G31+G18</f>
        <v>107354</v>
      </c>
      <c r="H39" s="252"/>
      <c r="I39" s="212"/>
      <c r="J39" s="212"/>
      <c r="K39" s="44"/>
      <c r="L39" s="44"/>
    </row>
    <row r="40" spans="2:14" ht="25.5" thickBot="1" x14ac:dyDescent="0.3">
      <c r="B40" s="97" t="s">
        <v>298</v>
      </c>
      <c r="C40" s="216">
        <f>E40+G40</f>
        <v>-694.72631023458962</v>
      </c>
      <c r="D40" s="217"/>
      <c r="E40" s="248">
        <f>E38-E39</f>
        <v>-9011.2463102345937</v>
      </c>
      <c r="F40" s="254"/>
      <c r="G40" s="248">
        <f>G38-G39</f>
        <v>8316.5200000000041</v>
      </c>
      <c r="H40" s="249"/>
      <c r="I40" s="212"/>
      <c r="J40" s="212"/>
      <c r="K40" s="44"/>
      <c r="L40" s="44"/>
    </row>
    <row r="41" spans="2:14" ht="34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205"/>
      <c r="I41" s="205"/>
      <c r="J41" s="205"/>
      <c r="K41" s="4"/>
      <c r="L41" s="4"/>
      <c r="M41" s="316"/>
      <c r="N41" s="316"/>
    </row>
    <row r="42" spans="2:14" ht="11.25" customHeight="1" x14ac:dyDescent="0.25">
      <c r="B42" s="205"/>
      <c r="C42" s="205"/>
      <c r="D42" s="205"/>
      <c r="E42" s="209"/>
      <c r="F42" s="231"/>
      <c r="G42" s="231"/>
      <c r="H42" s="210"/>
      <c r="I42" s="210"/>
      <c r="J42" s="210"/>
      <c r="K42" s="4"/>
      <c r="L42" s="4"/>
      <c r="M42" s="316"/>
      <c r="N42" s="316"/>
    </row>
    <row r="43" spans="2:14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205"/>
      <c r="I43" s="205"/>
      <c r="J43" s="205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0"/>
      <c r="G44" s="230"/>
      <c r="H44" s="205"/>
      <c r="I44" s="205"/>
      <c r="J44" s="205"/>
    </row>
    <row r="45" spans="2:14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205"/>
      <c r="I45" s="205"/>
      <c r="J45" s="205"/>
    </row>
    <row r="46" spans="2:14" ht="8.25" customHeight="1" x14ac:dyDescent="0.25">
      <c r="B46" s="45"/>
      <c r="C46" s="45"/>
      <c r="D46" s="45"/>
      <c r="E46" s="209"/>
      <c r="F46" s="46"/>
      <c r="G46" s="47"/>
      <c r="H46" s="48"/>
      <c r="I46" s="48"/>
      <c r="J46" s="48"/>
    </row>
    <row r="47" spans="2:14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</row>
    <row r="48" spans="2:14" ht="8.25" customHeight="1" x14ac:dyDescent="0.25">
      <c r="E48" s="209"/>
    </row>
  </sheetData>
  <mergeCells count="54">
    <mergeCell ref="G15:H15"/>
    <mergeCell ref="C43:E43"/>
    <mergeCell ref="C45:E45"/>
    <mergeCell ref="C47:E47"/>
    <mergeCell ref="G17:H17"/>
    <mergeCell ref="E18:F18"/>
    <mergeCell ref="G18:H18"/>
    <mergeCell ref="E19:F19"/>
    <mergeCell ref="G19:H19"/>
    <mergeCell ref="F42:G42"/>
    <mergeCell ref="F43:G43"/>
    <mergeCell ref="F44:G44"/>
    <mergeCell ref="F45:G45"/>
    <mergeCell ref="F47:G47"/>
    <mergeCell ref="G39:H39"/>
    <mergeCell ref="G40:H40"/>
    <mergeCell ref="N21:N22"/>
    <mergeCell ref="E39:F39"/>
    <mergeCell ref="E40:F40"/>
    <mergeCell ref="C41:E41"/>
    <mergeCell ref="E38:F38"/>
    <mergeCell ref="M21:M22"/>
    <mergeCell ref="C39:D39"/>
    <mergeCell ref="C40:D40"/>
    <mergeCell ref="C37:D37"/>
    <mergeCell ref="C38:D38"/>
    <mergeCell ref="E37:F37"/>
    <mergeCell ref="G37:H37"/>
    <mergeCell ref="G38:H38"/>
    <mergeCell ref="F41:G41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E16:F16"/>
    <mergeCell ref="G16:H16"/>
    <mergeCell ref="E17:F17"/>
    <mergeCell ref="C15:D15"/>
    <mergeCell ref="C16:D16"/>
    <mergeCell ref="C17:D17"/>
    <mergeCell ref="C18:D18"/>
    <mergeCell ref="C19:D19"/>
    <mergeCell ref="C36:D36"/>
    <mergeCell ref="B35:H35"/>
    <mergeCell ref="E36:F36"/>
    <mergeCell ref="G36:H36"/>
  </mergeCells>
  <printOptions horizontalCentered="1"/>
  <pageMargins left="0.2" right="0.19685039370078741" top="0.15748031496062992" bottom="0.23622047244094491" header="0.16" footer="0.25"/>
  <pageSetup paperSize="9" scale="48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8"/>
  <sheetViews>
    <sheetView topLeftCell="A6" zoomScale="110" zoomScaleNormal="110" workbookViewId="0">
      <selection activeCell="M6" sqref="M1:N1048576"/>
    </sheetView>
  </sheetViews>
  <sheetFormatPr defaultColWidth="9.140625" defaultRowHeight="15.75" outlineLevelRow="1" x14ac:dyDescent="0.25"/>
  <cols>
    <col min="1" max="1" width="2.85546875" style="5" customWidth="1"/>
    <col min="2" max="2" width="57" style="5" customWidth="1"/>
    <col min="3" max="3" width="27.140625" style="82" customWidth="1"/>
    <col min="4" max="4" width="9.28515625" style="82" customWidth="1"/>
    <col min="5" max="5" width="10.28515625" style="82" customWidth="1"/>
    <col min="6" max="6" width="9.7109375" style="5" customWidth="1"/>
    <col min="7" max="7" width="10.28515625" style="5" customWidth="1"/>
    <col min="8" max="8" width="10.85546875" style="5" customWidth="1"/>
    <col min="9" max="9" width="10.7109375" style="5" bestFit="1" customWidth="1"/>
    <col min="10" max="12" width="9.140625" style="5"/>
    <col min="13" max="13" width="14.140625" style="310" customWidth="1"/>
    <col min="14" max="14" width="14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3.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220</v>
      </c>
      <c r="E5" s="234"/>
    </row>
    <row r="6" spans="1:9" x14ac:dyDescent="0.25">
      <c r="B6" s="10" t="s">
        <v>1</v>
      </c>
      <c r="C6" s="48"/>
      <c r="D6" s="207">
        <v>1956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8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221</v>
      </c>
      <c r="E9" s="207"/>
    </row>
    <row r="10" spans="1:9" collapsed="1" x14ac:dyDescent="0.25">
      <c r="B10" s="10" t="s">
        <v>5</v>
      </c>
      <c r="C10" s="48"/>
      <c r="D10" s="207" t="s">
        <v>287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222</v>
      </c>
      <c r="E12" s="208"/>
      <c r="I12" s="17"/>
    </row>
    <row r="13" spans="1:9" ht="7.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50.2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124748.72</v>
      </c>
      <c r="D16" s="253"/>
      <c r="E16" s="224">
        <v>117452.42</v>
      </c>
      <c r="F16" s="225"/>
      <c r="G16" s="224">
        <v>7296.3</v>
      </c>
      <c r="H16" s="226"/>
      <c r="I16" s="17"/>
    </row>
    <row r="17" spans="2:14" x14ac:dyDescent="0.25">
      <c r="B17" s="94" t="s">
        <v>16</v>
      </c>
      <c r="C17" s="220">
        <v>111480.31</v>
      </c>
      <c r="D17" s="268"/>
      <c r="E17" s="220">
        <v>108658.31</v>
      </c>
      <c r="F17" s="221"/>
      <c r="G17" s="220">
        <v>2822</v>
      </c>
      <c r="H17" s="251"/>
      <c r="I17" s="17"/>
    </row>
    <row r="18" spans="2:14" ht="16.5" thickBot="1" x14ac:dyDescent="0.3">
      <c r="B18" s="95" t="s">
        <v>189</v>
      </c>
      <c r="C18" s="227">
        <v>123846.35500000001</v>
      </c>
      <c r="D18" s="308"/>
      <c r="E18" s="246">
        <v>123846.35500000001</v>
      </c>
      <c r="F18" s="247"/>
      <c r="G18" s="246">
        <v>0</v>
      </c>
      <c r="H18" s="252"/>
      <c r="I18" s="17"/>
    </row>
    <row r="19" spans="2:14" ht="36.75" thickBot="1" x14ac:dyDescent="0.3">
      <c r="B19" s="97" t="s">
        <v>297</v>
      </c>
      <c r="C19" s="216">
        <f>E19+G19</f>
        <v>-12366.045000000013</v>
      </c>
      <c r="D19" s="217"/>
      <c r="E19" s="248">
        <f>E17-E18</f>
        <v>-15188.045000000013</v>
      </c>
      <c r="F19" s="254"/>
      <c r="G19" s="248">
        <f>G17-G18</f>
        <v>2822</v>
      </c>
      <c r="H19" s="249"/>
      <c r="I19" s="17"/>
    </row>
    <row r="20" spans="2:14" ht="11.25" customHeight="1" x14ac:dyDescent="0.25">
      <c r="B20" s="14"/>
      <c r="C20" s="79"/>
      <c r="D20" s="91"/>
      <c r="E20" s="208"/>
      <c r="I20" s="17"/>
    </row>
    <row r="21" spans="2:14" ht="18.75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33.7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4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40170.28</v>
      </c>
      <c r="N23" s="314">
        <f>M23*1.01</f>
        <v>40571.982799999998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0</v>
      </c>
      <c r="F24" s="23">
        <f>$M$23/$M$24*E24</f>
        <v>0</v>
      </c>
      <c r="G24" s="24">
        <f>$N$23/$N$24*E24</f>
        <v>0</v>
      </c>
      <c r="H24" s="25">
        <f>F24-G24</f>
        <v>0</v>
      </c>
      <c r="I24" s="26"/>
      <c r="J24" s="26"/>
      <c r="K24" s="27"/>
      <c r="L24" s="28"/>
      <c r="M24" s="315">
        <f>E33-E31</f>
        <v>7.8400000000000007</v>
      </c>
      <c r="N24" s="315">
        <f>E33-E31</f>
        <v>7.8400000000000007</v>
      </c>
    </row>
    <row r="25" spans="2:14" ht="51" x14ac:dyDescent="0.25">
      <c r="B25" s="29" t="s">
        <v>202</v>
      </c>
      <c r="C25" s="8" t="s">
        <v>223</v>
      </c>
      <c r="D25" s="22" t="s">
        <v>201</v>
      </c>
      <c r="E25" s="99">
        <v>0</v>
      </c>
      <c r="F25" s="23">
        <f>$M$23/$M$24*E25</f>
        <v>0</v>
      </c>
      <c r="G25" s="24">
        <f>$N$23/$N$24*E25</f>
        <v>0</v>
      </c>
      <c r="H25" s="25">
        <f t="shared" ref="H25:H30" si="0">F25-G25</f>
        <v>0</v>
      </c>
      <c r="I25" s="26"/>
      <c r="J25" s="26"/>
      <c r="K25" s="4"/>
      <c r="L25" s="4"/>
      <c r="M25" s="316"/>
      <c r="N25" s="316"/>
    </row>
    <row r="26" spans="2:14" ht="52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1639.6032653061222</v>
      </c>
      <c r="G26" s="24">
        <f t="shared" ref="G26:G29" si="2">$N$23/$N$24*E26</f>
        <v>1655.9992979591834</v>
      </c>
      <c r="H26" s="25">
        <f t="shared" si="0"/>
        <v>-16.396032653061184</v>
      </c>
      <c r="I26" s="26"/>
      <c r="J26" s="26"/>
      <c r="L26" s="17"/>
    </row>
    <row r="27" spans="2:14" ht="25.5" x14ac:dyDescent="0.25">
      <c r="B27" s="30" t="s">
        <v>185</v>
      </c>
      <c r="C27" s="31" t="s">
        <v>203</v>
      </c>
      <c r="D27" s="22" t="s">
        <v>201</v>
      </c>
      <c r="E27" s="99">
        <v>0</v>
      </c>
      <c r="F27" s="23">
        <f t="shared" si="1"/>
        <v>0</v>
      </c>
      <c r="G27" s="24">
        <f t="shared" si="2"/>
        <v>0</v>
      </c>
      <c r="H27" s="25">
        <f t="shared" si="0"/>
        <v>0</v>
      </c>
      <c r="I27" s="26"/>
      <c r="J27" s="26"/>
      <c r="L27" s="17"/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6046.0370408163253</v>
      </c>
      <c r="G28" s="24">
        <f t="shared" si="2"/>
        <v>6106.497411224489</v>
      </c>
      <c r="H28" s="25">
        <f t="shared" si="0"/>
        <v>-60.460370408163726</v>
      </c>
      <c r="I28" s="26"/>
      <c r="J28" s="26"/>
    </row>
    <row r="29" spans="2:14" ht="211.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28744.294744897958</v>
      </c>
      <c r="G29" s="24">
        <f t="shared" si="2"/>
        <v>29031.737692346938</v>
      </c>
      <c r="H29" s="25">
        <f t="shared" si="0"/>
        <v>-287.4429474489807</v>
      </c>
      <c r="I29" s="26"/>
      <c r="J29" s="26"/>
      <c r="K29" s="4"/>
      <c r="L29" s="3"/>
      <c r="M29" s="316"/>
      <c r="N29" s="316"/>
    </row>
    <row r="30" spans="2:14" ht="123" customHeight="1" x14ac:dyDescent="0.25">
      <c r="B30" s="29" t="s">
        <v>205</v>
      </c>
      <c r="C30" s="8" t="s">
        <v>223</v>
      </c>
      <c r="D30" s="22" t="s">
        <v>201</v>
      </c>
      <c r="E30" s="99">
        <v>0.24</v>
      </c>
      <c r="F30" s="23">
        <f t="shared" si="1"/>
        <v>1229.7024489795915</v>
      </c>
      <c r="G30" s="24">
        <f t="shared" ref="G30" si="3">$N$23/$N$24*E30</f>
        <v>1241.9994734693876</v>
      </c>
      <c r="H30" s="25">
        <f t="shared" si="0"/>
        <v>-12.297024489796058</v>
      </c>
      <c r="I30" s="26"/>
      <c r="J30" s="26"/>
    </row>
    <row r="31" spans="2:14" ht="33.75" x14ac:dyDescent="0.25">
      <c r="B31" s="30" t="s">
        <v>206</v>
      </c>
      <c r="C31" s="8" t="s">
        <v>223</v>
      </c>
      <c r="D31" s="22" t="s">
        <v>201</v>
      </c>
      <c r="E31" s="99">
        <v>0</v>
      </c>
      <c r="F31" s="23">
        <v>0</v>
      </c>
      <c r="G31" s="6">
        <v>0</v>
      </c>
      <c r="H31" s="25">
        <f>F31-G31</f>
        <v>0</v>
      </c>
      <c r="I31" s="26"/>
      <c r="J31" s="26"/>
      <c r="L31" s="17"/>
    </row>
    <row r="32" spans="2:14" ht="16.5" thickBot="1" x14ac:dyDescent="0.3">
      <c r="B32" s="51" t="s">
        <v>186</v>
      </c>
      <c r="C32" s="52" t="s">
        <v>204</v>
      </c>
      <c r="D32" s="53" t="s">
        <v>201</v>
      </c>
      <c r="E32" s="103">
        <f>0.37+0.12</f>
        <v>0.49</v>
      </c>
      <c r="F32" s="23">
        <f t="shared" si="1"/>
        <v>2510.6424999999995</v>
      </c>
      <c r="G32" s="24">
        <f t="shared" ref="G32" si="4">$N$23/$N$24*E32</f>
        <v>2535.7489249999994</v>
      </c>
      <c r="H32" s="33">
        <f>F32-G32</f>
        <v>-25.106424999999945</v>
      </c>
      <c r="I32" s="26"/>
      <c r="J32" s="26"/>
    </row>
    <row r="33" spans="2:14" ht="16.5" thickBot="1" x14ac:dyDescent="0.3">
      <c r="B33" s="54" t="s">
        <v>190</v>
      </c>
      <c r="C33" s="55"/>
      <c r="D33" s="55"/>
      <c r="E33" s="101">
        <f>SUM(E24:E32)</f>
        <v>7.8400000000000007</v>
      </c>
      <c r="F33" s="56">
        <f>SUM(F24:F32)</f>
        <v>40170.28</v>
      </c>
      <c r="G33" s="57">
        <f>SUM(G24:G32)</f>
        <v>40571.982799999998</v>
      </c>
      <c r="H33" s="38">
        <f>SUM(H24:H32)</f>
        <v>-401.70280000000162</v>
      </c>
      <c r="I33" s="39"/>
      <c r="J33" s="39"/>
    </row>
    <row r="34" spans="2:14" x14ac:dyDescent="0.25">
      <c r="B34" s="17"/>
      <c r="C34" s="17"/>
      <c r="D34" s="17"/>
      <c r="E34" s="86"/>
      <c r="F34" s="86"/>
      <c r="G34" s="86">
        <f>G33-G31</f>
        <v>40571.982799999998</v>
      </c>
      <c r="H34" s="82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x14ac:dyDescent="0.25">
      <c r="B37" s="93" t="s">
        <v>15</v>
      </c>
      <c r="C37" s="222">
        <f>E37+G37</f>
        <v>164919</v>
      </c>
      <c r="D37" s="223"/>
      <c r="E37" s="224">
        <f>F24+F25+F26+F27+F28+F29+F30+F32+E16</f>
        <v>157622.70000000001</v>
      </c>
      <c r="F37" s="225"/>
      <c r="G37" s="224">
        <f>F31+G16</f>
        <v>7296.3</v>
      </c>
      <c r="H37" s="226"/>
      <c r="I37" s="212"/>
      <c r="J37" s="212"/>
      <c r="K37" s="9"/>
      <c r="L37" s="9"/>
      <c r="M37" s="318"/>
    </row>
    <row r="38" spans="2:14" x14ac:dyDescent="0.25">
      <c r="B38" s="94" t="s">
        <v>16</v>
      </c>
      <c r="C38" s="220">
        <f>E38+G38</f>
        <v>149351.25</v>
      </c>
      <c r="D38" s="221"/>
      <c r="E38" s="220">
        <f>E17+37870.94</f>
        <v>146529.25</v>
      </c>
      <c r="F38" s="221"/>
      <c r="G38" s="220">
        <f>G17</f>
        <v>2822</v>
      </c>
      <c r="H38" s="251"/>
      <c r="I38" s="212"/>
      <c r="J38" s="212"/>
      <c r="K38" s="12"/>
      <c r="L38" s="9"/>
      <c r="M38" s="318"/>
    </row>
    <row r="39" spans="2:14" ht="16.5" thickBot="1" x14ac:dyDescent="0.3">
      <c r="B39" s="95" t="s">
        <v>189</v>
      </c>
      <c r="C39" s="227">
        <f>E39+G39</f>
        <v>164418.33780000001</v>
      </c>
      <c r="D39" s="228"/>
      <c r="E39" s="246">
        <f>G24+G25+G26+G27+G28+G29+G30+G32+E18</f>
        <v>164418.33780000001</v>
      </c>
      <c r="F39" s="247"/>
      <c r="G39" s="246">
        <f>G31+G18</f>
        <v>0</v>
      </c>
      <c r="H39" s="252"/>
      <c r="I39" s="212"/>
      <c r="J39" s="212"/>
      <c r="K39" s="44"/>
      <c r="L39" s="44"/>
    </row>
    <row r="40" spans="2:14" ht="25.5" thickBot="1" x14ac:dyDescent="0.3">
      <c r="B40" s="97" t="s">
        <v>298</v>
      </c>
      <c r="C40" s="216">
        <f>E40+G40</f>
        <v>-15067.087800000008</v>
      </c>
      <c r="D40" s="217"/>
      <c r="E40" s="248">
        <f>E38-E39</f>
        <v>-17889.087800000008</v>
      </c>
      <c r="F40" s="254"/>
      <c r="G40" s="248">
        <f>G38-G39</f>
        <v>2822</v>
      </c>
      <c r="H40" s="249"/>
      <c r="I40" s="212"/>
      <c r="J40" s="212"/>
      <c r="K40" s="44"/>
      <c r="L40" s="44"/>
    </row>
    <row r="41" spans="2:14" ht="34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205"/>
      <c r="I41" s="205"/>
      <c r="J41" s="205"/>
      <c r="K41" s="4"/>
      <c r="L41" s="4"/>
      <c r="M41" s="316"/>
      <c r="N41" s="316"/>
    </row>
    <row r="42" spans="2:14" ht="11.25" customHeight="1" x14ac:dyDescent="0.25">
      <c r="B42" s="205"/>
      <c r="C42" s="205"/>
      <c r="D42" s="205"/>
      <c r="E42" s="209"/>
      <c r="F42" s="231"/>
      <c r="G42" s="231"/>
      <c r="H42" s="210"/>
      <c r="I42" s="210"/>
      <c r="J42" s="210"/>
      <c r="K42" s="4"/>
      <c r="L42" s="4"/>
      <c r="M42" s="316"/>
      <c r="N42" s="316"/>
    </row>
    <row r="43" spans="2:14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205"/>
      <c r="I43" s="205"/>
      <c r="J43" s="205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0"/>
      <c r="G44" s="230"/>
      <c r="H44" s="205"/>
      <c r="I44" s="205"/>
      <c r="J44" s="205"/>
    </row>
    <row r="45" spans="2:14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205"/>
      <c r="I45" s="205"/>
      <c r="J45" s="205"/>
    </row>
    <row r="46" spans="2:14" ht="8.25" customHeight="1" x14ac:dyDescent="0.25">
      <c r="B46" s="45"/>
      <c r="C46" s="45"/>
      <c r="D46" s="45"/>
      <c r="E46" s="209"/>
      <c r="F46" s="46"/>
      <c r="G46" s="47"/>
      <c r="H46" s="48"/>
      <c r="I46" s="48"/>
      <c r="J46" s="48"/>
    </row>
    <row r="47" spans="2:14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</row>
    <row r="48" spans="2:14" ht="8.25" customHeight="1" x14ac:dyDescent="0.25">
      <c r="E48" s="209"/>
    </row>
  </sheetData>
  <mergeCells count="54">
    <mergeCell ref="F44:G44"/>
    <mergeCell ref="F45:G45"/>
    <mergeCell ref="F47:G47"/>
    <mergeCell ref="E18:F18"/>
    <mergeCell ref="G18:H18"/>
    <mergeCell ref="E19:F19"/>
    <mergeCell ref="G19:H19"/>
    <mergeCell ref="E38:F38"/>
    <mergeCell ref="G38:H38"/>
    <mergeCell ref="C41:E41"/>
    <mergeCell ref="C43:E43"/>
    <mergeCell ref="C45:E45"/>
    <mergeCell ref="C47:E47"/>
    <mergeCell ref="C39:D39"/>
    <mergeCell ref="C40:D40"/>
    <mergeCell ref="F41:G41"/>
    <mergeCell ref="F42:G42"/>
    <mergeCell ref="F43:G43"/>
    <mergeCell ref="E39:F39"/>
    <mergeCell ref="G39:H39"/>
    <mergeCell ref="E40:F40"/>
    <mergeCell ref="G40:H40"/>
    <mergeCell ref="B1:H1"/>
    <mergeCell ref="B2:H3"/>
    <mergeCell ref="D5:E5"/>
    <mergeCell ref="B21:H21"/>
    <mergeCell ref="B14:H14"/>
    <mergeCell ref="E15:F15"/>
    <mergeCell ref="G15:H15"/>
    <mergeCell ref="E16:F16"/>
    <mergeCell ref="G16:H16"/>
    <mergeCell ref="E17:F17"/>
    <mergeCell ref="G17:H17"/>
    <mergeCell ref="C15:D15"/>
    <mergeCell ref="C16:D16"/>
    <mergeCell ref="C17:D17"/>
    <mergeCell ref="C18:D18"/>
    <mergeCell ref="C19:D19"/>
    <mergeCell ref="M21:M22"/>
    <mergeCell ref="N21:N22"/>
    <mergeCell ref="C36:D36"/>
    <mergeCell ref="C37:D37"/>
    <mergeCell ref="C38:D38"/>
    <mergeCell ref="F22:G22"/>
    <mergeCell ref="H22:H23"/>
    <mergeCell ref="B35:H35"/>
    <mergeCell ref="E36:F36"/>
    <mergeCell ref="G36:H36"/>
    <mergeCell ref="B22:B23"/>
    <mergeCell ref="C22:C23"/>
    <mergeCell ref="D22:D23"/>
    <mergeCell ref="E22:E23"/>
    <mergeCell ref="E37:F37"/>
    <mergeCell ref="G37:H37"/>
  </mergeCells>
  <pageMargins left="0.15" right="0.15" top="0.14000000000000001" bottom="0.15" header="0.31496062992125984" footer="0.15"/>
  <pageSetup paperSize="9" scale="4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8"/>
  <sheetViews>
    <sheetView tabSelected="1" zoomScale="110" zoomScaleNormal="110" workbookViewId="0">
      <selection activeCell="B19" sqref="B19"/>
    </sheetView>
  </sheetViews>
  <sheetFormatPr defaultColWidth="9.140625" defaultRowHeight="15.75" outlineLevelRow="1" x14ac:dyDescent="0.25"/>
  <cols>
    <col min="1" max="1" width="2.85546875" style="5" customWidth="1"/>
    <col min="2" max="2" width="58" style="5" customWidth="1"/>
    <col min="3" max="3" width="22.42578125" style="82" customWidth="1"/>
    <col min="4" max="4" width="9.28515625" style="82" customWidth="1"/>
    <col min="5" max="5" width="10.28515625" style="82" customWidth="1"/>
    <col min="6" max="6" width="9.7109375" style="5" customWidth="1"/>
    <col min="7" max="8" width="10.28515625" style="5" customWidth="1"/>
    <col min="9" max="9" width="10.7109375" style="5" bestFit="1" customWidth="1"/>
    <col min="10" max="12" width="9.140625" style="5"/>
    <col min="13" max="13" width="15.140625" style="310" customWidth="1"/>
    <col min="14" max="14" width="14" style="310" customWidth="1"/>
    <col min="15" max="16384" width="9.140625" style="5"/>
  </cols>
  <sheetData>
    <row r="1" spans="1:9" x14ac:dyDescent="0.25">
      <c r="B1" s="255" t="s">
        <v>211</v>
      </c>
      <c r="C1" s="255"/>
      <c r="D1" s="255"/>
      <c r="E1" s="255"/>
      <c r="F1" s="255"/>
      <c r="G1" s="255"/>
      <c r="H1" s="255"/>
    </row>
    <row r="2" spans="1:9" ht="15.75" customHeight="1" x14ac:dyDescent="0.25">
      <c r="A2" s="7"/>
      <c r="B2" s="265" t="s">
        <v>323</v>
      </c>
      <c r="C2" s="265"/>
      <c r="D2" s="265"/>
      <c r="E2" s="265"/>
      <c r="F2" s="265"/>
      <c r="G2" s="265"/>
      <c r="H2" s="265"/>
    </row>
    <row r="3" spans="1:9" ht="21" customHeight="1" x14ac:dyDescent="0.25">
      <c r="A3" s="7"/>
      <c r="B3" s="265"/>
      <c r="C3" s="265"/>
      <c r="D3" s="265"/>
      <c r="E3" s="265"/>
      <c r="F3" s="265"/>
      <c r="G3" s="265"/>
      <c r="H3" s="265"/>
    </row>
    <row r="4" spans="1:9" ht="13.5" customHeight="1" x14ac:dyDescent="0.25">
      <c r="A4" s="7"/>
      <c r="B4" s="7"/>
      <c r="C4" s="7"/>
      <c r="D4" s="7"/>
      <c r="E4" s="7"/>
      <c r="F4" s="7"/>
      <c r="G4" s="7"/>
    </row>
    <row r="5" spans="1:9" x14ac:dyDescent="0.25">
      <c r="B5" s="10" t="s">
        <v>0</v>
      </c>
      <c r="C5" s="48"/>
      <c r="D5" s="234" t="s">
        <v>178</v>
      </c>
      <c r="E5" s="234"/>
    </row>
    <row r="6" spans="1:9" x14ac:dyDescent="0.25">
      <c r="B6" s="10" t="s">
        <v>1</v>
      </c>
      <c r="C6" s="48"/>
      <c r="D6" s="207">
        <v>1957</v>
      </c>
      <c r="E6" s="207"/>
    </row>
    <row r="7" spans="1:9" hidden="1" outlineLevel="1" x14ac:dyDescent="0.25">
      <c r="B7" s="10" t="s">
        <v>2</v>
      </c>
      <c r="C7" s="48"/>
      <c r="D7" s="207">
        <v>2</v>
      </c>
      <c r="E7" s="207"/>
    </row>
    <row r="8" spans="1:9" hidden="1" outlineLevel="1" x14ac:dyDescent="0.25">
      <c r="B8" s="10" t="s">
        <v>3</v>
      </c>
      <c r="C8" s="48"/>
      <c r="D8" s="207">
        <v>8</v>
      </c>
      <c r="E8" s="207"/>
    </row>
    <row r="9" spans="1:9" ht="30.75" hidden="1" customHeight="1" outlineLevel="1" x14ac:dyDescent="0.25">
      <c r="B9" s="122" t="s">
        <v>4</v>
      </c>
      <c r="C9" s="133"/>
      <c r="D9" s="207" t="s">
        <v>179</v>
      </c>
      <c r="E9" s="207"/>
    </row>
    <row r="10" spans="1:9" collapsed="1" x14ac:dyDescent="0.25">
      <c r="B10" s="10" t="s">
        <v>5</v>
      </c>
      <c r="C10" s="48"/>
      <c r="D10" s="207" t="s">
        <v>288</v>
      </c>
      <c r="E10" s="207"/>
      <c r="I10" s="17"/>
    </row>
    <row r="11" spans="1:9" hidden="1" outlineLevel="1" x14ac:dyDescent="0.25">
      <c r="B11" s="5" t="s">
        <v>6</v>
      </c>
      <c r="D11" s="208" t="s">
        <v>13</v>
      </c>
      <c r="E11" s="208"/>
    </row>
    <row r="12" spans="1:9" ht="30.75" hidden="1" customHeight="1" outlineLevel="1" x14ac:dyDescent="0.25">
      <c r="B12" s="14" t="s">
        <v>7</v>
      </c>
      <c r="C12" s="79"/>
      <c r="D12" s="91" t="s">
        <v>177</v>
      </c>
      <c r="E12" s="208"/>
      <c r="I12" s="17"/>
    </row>
    <row r="13" spans="1:9" ht="10.5" customHeight="1" collapsed="1" x14ac:dyDescent="0.25">
      <c r="B13" s="14"/>
      <c r="C13" s="79"/>
      <c r="D13" s="91"/>
      <c r="E13" s="208"/>
      <c r="I13" s="17"/>
    </row>
    <row r="14" spans="1:9" ht="16.5" thickBot="1" x14ac:dyDescent="0.3">
      <c r="B14" s="260" t="s">
        <v>313</v>
      </c>
      <c r="C14" s="260"/>
      <c r="D14" s="260"/>
      <c r="E14" s="260"/>
      <c r="F14" s="260"/>
      <c r="G14" s="260"/>
      <c r="H14" s="260"/>
      <c r="I14" s="17"/>
    </row>
    <row r="15" spans="1:9" ht="54.75" customHeight="1" thickBot="1" x14ac:dyDescent="0.3">
      <c r="B15" s="92" t="s">
        <v>311</v>
      </c>
      <c r="C15" s="266" t="s">
        <v>207</v>
      </c>
      <c r="D15" s="267"/>
      <c r="E15" s="257" t="s">
        <v>8</v>
      </c>
      <c r="F15" s="258"/>
      <c r="G15" s="257" t="s">
        <v>9</v>
      </c>
      <c r="H15" s="259"/>
      <c r="I15" s="17"/>
    </row>
    <row r="16" spans="1:9" x14ac:dyDescent="0.25">
      <c r="B16" s="93" t="s">
        <v>15</v>
      </c>
      <c r="C16" s="222">
        <v>349580.45999999996</v>
      </c>
      <c r="D16" s="253"/>
      <c r="E16" s="224">
        <v>248186.8</v>
      </c>
      <c r="F16" s="225"/>
      <c r="G16" s="224">
        <v>101393.66</v>
      </c>
      <c r="H16" s="226"/>
      <c r="I16" s="17"/>
    </row>
    <row r="17" spans="2:14" x14ac:dyDescent="0.25">
      <c r="B17" s="94" t="s">
        <v>16</v>
      </c>
      <c r="C17" s="220">
        <v>348638.1</v>
      </c>
      <c r="D17" s="268"/>
      <c r="E17" s="220">
        <v>247189.35</v>
      </c>
      <c r="F17" s="221"/>
      <c r="G17" s="220">
        <v>101448.75</v>
      </c>
      <c r="H17" s="251"/>
      <c r="I17" s="17"/>
    </row>
    <row r="18" spans="2:14" ht="16.5" thickBot="1" x14ac:dyDescent="0.3">
      <c r="B18" s="95" t="s">
        <v>189</v>
      </c>
      <c r="C18" s="227">
        <v>388552.32990000001</v>
      </c>
      <c r="D18" s="308"/>
      <c r="E18" s="246">
        <v>255921.32990000001</v>
      </c>
      <c r="F18" s="247"/>
      <c r="G18" s="246">
        <v>132631</v>
      </c>
      <c r="H18" s="252"/>
      <c r="I18" s="17"/>
    </row>
    <row r="19" spans="2:14" ht="25.5" thickBot="1" x14ac:dyDescent="0.3">
      <c r="B19" s="97" t="s">
        <v>297</v>
      </c>
      <c r="C19" s="216">
        <f>E19+G19</f>
        <v>-39914.229900000006</v>
      </c>
      <c r="D19" s="217"/>
      <c r="E19" s="248">
        <f>E17-E18</f>
        <v>-8731.9799000000057</v>
      </c>
      <c r="F19" s="254"/>
      <c r="G19" s="248">
        <f>G17-G18</f>
        <v>-31182.25</v>
      </c>
      <c r="H19" s="249"/>
      <c r="I19" s="17"/>
    </row>
    <row r="20" spans="2:14" x14ac:dyDescent="0.25">
      <c r="B20" s="14"/>
      <c r="C20" s="79"/>
      <c r="D20" s="91"/>
      <c r="E20" s="208"/>
      <c r="I20" s="17"/>
    </row>
    <row r="21" spans="2:14" ht="21" customHeight="1" thickBot="1" x14ac:dyDescent="0.3">
      <c r="B21" s="309" t="s">
        <v>324</v>
      </c>
      <c r="C21" s="309"/>
      <c r="D21" s="309"/>
      <c r="E21" s="309"/>
      <c r="F21" s="309"/>
      <c r="G21" s="309"/>
      <c r="H21" s="309"/>
      <c r="I21" s="16"/>
      <c r="J21" s="16"/>
      <c r="L21" s="17"/>
      <c r="M21" s="312" t="s">
        <v>301</v>
      </c>
      <c r="N21" s="312" t="s">
        <v>302</v>
      </c>
    </row>
    <row r="22" spans="2:14" ht="33.75" customHeight="1" x14ac:dyDescent="0.25">
      <c r="B22" s="235" t="s">
        <v>196</v>
      </c>
      <c r="C22" s="237" t="s">
        <v>197</v>
      </c>
      <c r="D22" s="237" t="s">
        <v>198</v>
      </c>
      <c r="E22" s="239" t="s">
        <v>325</v>
      </c>
      <c r="F22" s="241" t="s">
        <v>199</v>
      </c>
      <c r="G22" s="242"/>
      <c r="H22" s="243" t="s">
        <v>227</v>
      </c>
      <c r="I22" s="18"/>
      <c r="J22" s="18"/>
      <c r="L22" s="17"/>
      <c r="M22" s="313"/>
      <c r="N22" s="313"/>
    </row>
    <row r="23" spans="2:14" ht="45" customHeight="1" thickBot="1" x14ac:dyDescent="0.3">
      <c r="B23" s="236"/>
      <c r="C23" s="238"/>
      <c r="D23" s="238"/>
      <c r="E23" s="240"/>
      <c r="F23" s="19" t="s">
        <v>187</v>
      </c>
      <c r="G23" s="20" t="s">
        <v>188</v>
      </c>
      <c r="H23" s="244"/>
      <c r="I23" s="18"/>
      <c r="J23" s="18"/>
      <c r="M23" s="314">
        <v>49468.22</v>
      </c>
      <c r="N23" s="314">
        <f>M23*1.01</f>
        <v>49962.902200000004</v>
      </c>
    </row>
    <row r="24" spans="2:14" ht="50.25" customHeight="1" x14ac:dyDescent="0.25">
      <c r="B24" s="21" t="s">
        <v>191</v>
      </c>
      <c r="C24" s="8" t="s">
        <v>223</v>
      </c>
      <c r="D24" s="22" t="s">
        <v>201</v>
      </c>
      <c r="E24" s="98">
        <v>1.06</v>
      </c>
      <c r="F24" s="23">
        <f>$M$23/$M$24*E24</f>
        <v>5620.1836227224012</v>
      </c>
      <c r="G24" s="24">
        <f>$N$23/$N$24*E24</f>
        <v>5676.3854589496259</v>
      </c>
      <c r="H24" s="25">
        <f>F24-G24</f>
        <v>-56.201836227224703</v>
      </c>
      <c r="I24" s="26"/>
      <c r="J24" s="26"/>
      <c r="K24" s="27"/>
      <c r="L24" s="28"/>
      <c r="M24" s="315">
        <f>E33-E31</f>
        <v>9.33</v>
      </c>
      <c r="N24" s="315">
        <f>E33-E31</f>
        <v>9.33</v>
      </c>
    </row>
    <row r="25" spans="2:14" ht="56.25" x14ac:dyDescent="0.25">
      <c r="B25" s="29" t="s">
        <v>202</v>
      </c>
      <c r="C25" s="8" t="s">
        <v>223</v>
      </c>
      <c r="D25" s="22" t="s">
        <v>201</v>
      </c>
      <c r="E25" s="99"/>
      <c r="F25" s="23">
        <f>$M$23/$M$24*E25</f>
        <v>0</v>
      </c>
      <c r="G25" s="24">
        <f>$N$23/$N$24*E25</f>
        <v>0</v>
      </c>
      <c r="H25" s="25">
        <f t="shared" ref="H25:H30" si="0">F25-G25</f>
        <v>0</v>
      </c>
      <c r="I25" s="26"/>
      <c r="J25" s="26"/>
      <c r="K25" s="4"/>
      <c r="L25" s="4"/>
      <c r="M25" s="316"/>
      <c r="N25" s="316"/>
    </row>
    <row r="26" spans="2:14" ht="52.5" customHeight="1" x14ac:dyDescent="0.25">
      <c r="B26" s="30" t="s">
        <v>184</v>
      </c>
      <c r="C26" s="8" t="s">
        <v>223</v>
      </c>
      <c r="D26" s="22" t="s">
        <v>201</v>
      </c>
      <c r="E26" s="99">
        <v>0.32</v>
      </c>
      <c r="F26" s="23">
        <f t="shared" ref="F26:F32" si="1">$M$23/$M$24*E26</f>
        <v>1696.6592068595928</v>
      </c>
      <c r="G26" s="24">
        <f t="shared" ref="G26:G29" si="2">$N$23/$N$24*E26</f>
        <v>1713.6257989281887</v>
      </c>
      <c r="H26" s="25">
        <f t="shared" si="0"/>
        <v>-16.966592068595901</v>
      </c>
      <c r="I26" s="26"/>
      <c r="J26" s="26"/>
      <c r="L26" s="17"/>
    </row>
    <row r="27" spans="2:14" ht="25.5" x14ac:dyDescent="0.25">
      <c r="B27" s="30" t="s">
        <v>185</v>
      </c>
      <c r="C27" s="31" t="s">
        <v>203</v>
      </c>
      <c r="D27" s="22" t="s">
        <v>201</v>
      </c>
      <c r="E27" s="99">
        <v>0.5</v>
      </c>
      <c r="F27" s="23">
        <f>($M$23/12*2)/$M$24*E27</f>
        <v>441.83833511968555</v>
      </c>
      <c r="G27" s="24">
        <f>($N$23/12*2)/$N$24*E27</f>
        <v>446.25671847088245</v>
      </c>
      <c r="H27" s="25">
        <f t="shared" si="0"/>
        <v>-4.4183833511968942</v>
      </c>
      <c r="I27" s="26"/>
      <c r="J27" s="26"/>
      <c r="L27" s="17"/>
    </row>
    <row r="28" spans="2:14" ht="51" x14ac:dyDescent="0.25">
      <c r="B28" s="29" t="s">
        <v>192</v>
      </c>
      <c r="C28" s="32" t="s">
        <v>229</v>
      </c>
      <c r="D28" s="22" t="s">
        <v>201</v>
      </c>
      <c r="E28" s="99">
        <v>1.18</v>
      </c>
      <c r="F28" s="23">
        <f t="shared" si="1"/>
        <v>6256.4308252947485</v>
      </c>
      <c r="G28" s="24">
        <f t="shared" si="2"/>
        <v>6318.9951335476953</v>
      </c>
      <c r="H28" s="25">
        <f t="shared" si="0"/>
        <v>-62.56430825294683</v>
      </c>
      <c r="I28" s="26"/>
      <c r="J28" s="26"/>
    </row>
    <row r="29" spans="2:14" ht="211.5" customHeight="1" x14ac:dyDescent="0.25">
      <c r="B29" s="29" t="s">
        <v>219</v>
      </c>
      <c r="C29" s="32" t="s">
        <v>204</v>
      </c>
      <c r="D29" s="22" t="s">
        <v>201</v>
      </c>
      <c r="E29" s="99">
        <v>5.61</v>
      </c>
      <c r="F29" s="23">
        <f t="shared" si="1"/>
        <v>29744.556720257238</v>
      </c>
      <c r="G29" s="24">
        <f t="shared" si="2"/>
        <v>30042.002287459811</v>
      </c>
      <c r="H29" s="25">
        <f t="shared" si="0"/>
        <v>-297.44556720257242</v>
      </c>
      <c r="I29" s="26"/>
      <c r="J29" s="26"/>
      <c r="K29" s="4"/>
      <c r="L29" s="3"/>
      <c r="M29" s="316"/>
      <c r="N29" s="316"/>
    </row>
    <row r="30" spans="2:14" ht="108.75" customHeight="1" x14ac:dyDescent="0.25">
      <c r="B30" s="29" t="s">
        <v>205</v>
      </c>
      <c r="C30" s="8" t="s">
        <v>223</v>
      </c>
      <c r="D30" s="22" t="s">
        <v>201</v>
      </c>
      <c r="E30" s="99">
        <v>0.24</v>
      </c>
      <c r="F30" s="23">
        <f t="shared" si="1"/>
        <v>1272.4944051446946</v>
      </c>
      <c r="G30" s="24">
        <f t="shared" ref="G30" si="3">$N$23/$N$24*E30</f>
        <v>1285.2193491961416</v>
      </c>
      <c r="H30" s="25">
        <f t="shared" si="0"/>
        <v>-12.724944051446982</v>
      </c>
      <c r="I30" s="26"/>
      <c r="J30" s="26"/>
    </row>
    <row r="31" spans="2:14" ht="56.25" x14ac:dyDescent="0.25">
      <c r="B31" s="30" t="s">
        <v>206</v>
      </c>
      <c r="C31" s="8" t="s">
        <v>223</v>
      </c>
      <c r="D31" s="22" t="s">
        <v>201</v>
      </c>
      <c r="E31" s="99">
        <v>4.5999999999999996</v>
      </c>
      <c r="F31" s="23">
        <v>23386.82</v>
      </c>
      <c r="G31" s="6">
        <v>0</v>
      </c>
      <c r="H31" s="25">
        <f>F31-G31</f>
        <v>23386.82</v>
      </c>
      <c r="I31" s="26"/>
      <c r="J31" s="26"/>
      <c r="L31" s="17"/>
    </row>
    <row r="32" spans="2:14" ht="16.5" thickBot="1" x14ac:dyDescent="0.3">
      <c r="B32" s="30" t="s">
        <v>186</v>
      </c>
      <c r="C32" s="52" t="s">
        <v>204</v>
      </c>
      <c r="D32" s="22" t="s">
        <v>201</v>
      </c>
      <c r="E32" s="99">
        <f>0.13+0.29</f>
        <v>0.42</v>
      </c>
      <c r="F32" s="23">
        <f t="shared" si="1"/>
        <v>2226.8652090032156</v>
      </c>
      <c r="G32" s="24">
        <f t="shared" ref="G32" si="4">$N$23/$N$24*E32</f>
        <v>2249.1338610932476</v>
      </c>
      <c r="H32" s="33">
        <f>F32-G32</f>
        <v>-22.268652090031992</v>
      </c>
      <c r="I32" s="26"/>
      <c r="J32" s="26"/>
    </row>
    <row r="33" spans="2:14" ht="16.5" thickBot="1" x14ac:dyDescent="0.3">
      <c r="B33" s="34" t="s">
        <v>190</v>
      </c>
      <c r="C33" s="35"/>
      <c r="D33" s="35"/>
      <c r="E33" s="107">
        <f>SUM(E24:E32)</f>
        <v>13.93</v>
      </c>
      <c r="F33" s="36">
        <f>SUM(F24:F32)</f>
        <v>70645.848324401566</v>
      </c>
      <c r="G33" s="37">
        <f>SUM(G24:G32)</f>
        <v>47731.6186076456</v>
      </c>
      <c r="H33" s="38">
        <f>SUM(H24:H32)</f>
        <v>22914.229716755985</v>
      </c>
      <c r="I33" s="39"/>
      <c r="J33" s="39"/>
    </row>
    <row r="34" spans="2:14" x14ac:dyDescent="0.25">
      <c r="B34" s="17"/>
      <c r="C34" s="17"/>
      <c r="D34" s="17"/>
      <c r="E34" s="86"/>
      <c r="F34" s="86"/>
      <c r="G34" s="86"/>
      <c r="H34" s="82"/>
      <c r="I34" s="82"/>
      <c r="J34" s="82"/>
    </row>
    <row r="35" spans="2:14" ht="16.5" customHeight="1" thickBot="1" x14ac:dyDescent="0.3">
      <c r="B35" s="260" t="s">
        <v>326</v>
      </c>
      <c r="C35" s="260"/>
      <c r="D35" s="260"/>
      <c r="E35" s="260"/>
      <c r="F35" s="260"/>
      <c r="G35" s="260"/>
      <c r="H35" s="260"/>
      <c r="I35" s="40"/>
      <c r="J35" s="40"/>
    </row>
    <row r="36" spans="2:14" ht="44.25" customHeight="1" thickBot="1" x14ac:dyDescent="0.3">
      <c r="B36" s="92" t="s">
        <v>327</v>
      </c>
      <c r="C36" s="266" t="s">
        <v>207</v>
      </c>
      <c r="D36" s="267"/>
      <c r="E36" s="257" t="s">
        <v>8</v>
      </c>
      <c r="F36" s="258"/>
      <c r="G36" s="257" t="s">
        <v>9</v>
      </c>
      <c r="H36" s="259"/>
      <c r="I36" s="41"/>
      <c r="J36" s="41"/>
      <c r="K36" s="42"/>
      <c r="L36" s="43"/>
      <c r="M36" s="317"/>
      <c r="N36" s="317"/>
    </row>
    <row r="37" spans="2:14" x14ac:dyDescent="0.25">
      <c r="B37" s="93" t="s">
        <v>15</v>
      </c>
      <c r="C37" s="222">
        <f>E37+G37</f>
        <v>420226.30832440162</v>
      </c>
      <c r="D37" s="223"/>
      <c r="E37" s="224">
        <f>F24+F25+F26+F27+F28+F29+F30+F32+E16</f>
        <v>295445.82832440158</v>
      </c>
      <c r="F37" s="225"/>
      <c r="G37" s="224">
        <f>F31+G16</f>
        <v>124780.48000000001</v>
      </c>
      <c r="H37" s="226"/>
      <c r="I37" s="212"/>
      <c r="J37" s="212"/>
      <c r="K37" s="9"/>
      <c r="L37" s="9"/>
      <c r="M37" s="318"/>
    </row>
    <row r="38" spans="2:14" x14ac:dyDescent="0.25">
      <c r="B38" s="94" t="s">
        <v>16</v>
      </c>
      <c r="C38" s="220">
        <f>E38+G38</f>
        <v>415865.87</v>
      </c>
      <c r="D38" s="221"/>
      <c r="E38" s="220">
        <f>E17+45647.33</f>
        <v>292836.68</v>
      </c>
      <c r="F38" s="221"/>
      <c r="G38" s="220">
        <f>G17+21580.44</f>
        <v>123029.19</v>
      </c>
      <c r="H38" s="251"/>
      <c r="I38" s="212"/>
      <c r="J38" s="212"/>
      <c r="K38" s="12"/>
      <c r="L38" s="9"/>
      <c r="M38" s="318"/>
    </row>
    <row r="39" spans="2:14" ht="16.5" thickBot="1" x14ac:dyDescent="0.3">
      <c r="B39" s="95" t="s">
        <v>189</v>
      </c>
      <c r="C39" s="227">
        <f>E39+G39</f>
        <v>436283.94850764563</v>
      </c>
      <c r="D39" s="228"/>
      <c r="E39" s="246">
        <f>G24+G25+G26+G27+G28+G29+G30+G32+E18</f>
        <v>303652.94850764563</v>
      </c>
      <c r="F39" s="247"/>
      <c r="G39" s="246">
        <f>G31+G18</f>
        <v>132631</v>
      </c>
      <c r="H39" s="252"/>
      <c r="I39" s="212"/>
      <c r="J39" s="212"/>
      <c r="K39" s="44"/>
      <c r="L39" s="44"/>
    </row>
    <row r="40" spans="2:14" ht="25.5" thickBot="1" x14ac:dyDescent="0.3">
      <c r="B40" s="97" t="s">
        <v>298</v>
      </c>
      <c r="C40" s="216">
        <f>E40+G40</f>
        <v>-20418.078507645638</v>
      </c>
      <c r="D40" s="217"/>
      <c r="E40" s="248">
        <f>E38-E39</f>
        <v>-10816.26850764564</v>
      </c>
      <c r="F40" s="254"/>
      <c r="G40" s="248">
        <f>G38-G39</f>
        <v>-9601.8099999999977</v>
      </c>
      <c r="H40" s="249"/>
      <c r="I40" s="212"/>
      <c r="J40" s="212"/>
      <c r="K40" s="44"/>
      <c r="L40" s="44"/>
    </row>
    <row r="41" spans="2:14" ht="34.5" customHeight="1" x14ac:dyDescent="0.25">
      <c r="B41" s="205" t="s">
        <v>180</v>
      </c>
      <c r="C41" s="232" t="s">
        <v>308</v>
      </c>
      <c r="D41" s="232"/>
      <c r="E41" s="232"/>
      <c r="F41" s="230" t="s">
        <v>10</v>
      </c>
      <c r="G41" s="230"/>
      <c r="H41" s="205"/>
      <c r="I41" s="205"/>
      <c r="J41" s="205"/>
      <c r="K41" s="4"/>
      <c r="L41" s="4"/>
      <c r="M41" s="316"/>
      <c r="N41" s="316"/>
    </row>
    <row r="42" spans="2:14" ht="11.25" customHeight="1" x14ac:dyDescent="0.25">
      <c r="B42" s="205"/>
      <c r="C42" s="205"/>
      <c r="D42" s="205"/>
      <c r="E42" s="209"/>
      <c r="F42" s="231"/>
      <c r="G42" s="231"/>
      <c r="H42" s="210"/>
      <c r="I42" s="210"/>
      <c r="J42" s="210"/>
      <c r="K42" s="4"/>
      <c r="L42" s="4"/>
      <c r="M42" s="316"/>
      <c r="N42" s="316"/>
    </row>
    <row r="43" spans="2:14" x14ac:dyDescent="0.25">
      <c r="B43" s="205" t="s">
        <v>181</v>
      </c>
      <c r="C43" s="232" t="s">
        <v>308</v>
      </c>
      <c r="D43" s="232"/>
      <c r="E43" s="232"/>
      <c r="F43" s="230" t="s">
        <v>208</v>
      </c>
      <c r="G43" s="230"/>
      <c r="H43" s="205"/>
      <c r="I43" s="205"/>
      <c r="J43" s="205"/>
      <c r="K43" s="4"/>
      <c r="L43" s="4"/>
      <c r="M43" s="316"/>
      <c r="N43" s="316"/>
    </row>
    <row r="44" spans="2:14" ht="9.75" customHeight="1" x14ac:dyDescent="0.25">
      <c r="B44" s="205"/>
      <c r="C44" s="205"/>
      <c r="D44" s="205"/>
      <c r="E44" s="209"/>
      <c r="F44" s="230"/>
      <c r="G44" s="230"/>
      <c r="H44" s="205"/>
      <c r="I44" s="205"/>
      <c r="J44" s="205"/>
    </row>
    <row r="45" spans="2:14" x14ac:dyDescent="0.25">
      <c r="B45" s="205" t="s">
        <v>182</v>
      </c>
      <c r="C45" s="232" t="s">
        <v>308</v>
      </c>
      <c r="D45" s="232"/>
      <c r="E45" s="232"/>
      <c r="F45" s="230" t="s">
        <v>209</v>
      </c>
      <c r="G45" s="230"/>
      <c r="H45" s="205"/>
      <c r="I45" s="205"/>
      <c r="J45" s="205"/>
    </row>
    <row r="46" spans="2:14" ht="8.25" customHeight="1" x14ac:dyDescent="0.25">
      <c r="B46" s="45"/>
      <c r="C46" s="45"/>
      <c r="D46" s="45"/>
      <c r="E46" s="209"/>
      <c r="F46" s="46"/>
      <c r="G46" s="47"/>
      <c r="H46" s="48"/>
      <c r="I46" s="48"/>
      <c r="J46" s="48"/>
    </row>
    <row r="47" spans="2:14" x14ac:dyDescent="0.25">
      <c r="B47" s="205" t="s">
        <v>183</v>
      </c>
      <c r="C47" s="232" t="s">
        <v>308</v>
      </c>
      <c r="D47" s="232"/>
      <c r="E47" s="232"/>
      <c r="F47" s="230" t="s">
        <v>209</v>
      </c>
      <c r="G47" s="230"/>
    </row>
    <row r="48" spans="2:14" ht="8.25" customHeight="1" x14ac:dyDescent="0.25">
      <c r="E48" s="209"/>
    </row>
  </sheetData>
  <mergeCells count="54">
    <mergeCell ref="G16:H16"/>
    <mergeCell ref="E17:F17"/>
    <mergeCell ref="G17:H17"/>
    <mergeCell ref="E18:F18"/>
    <mergeCell ref="G18:H18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B14:H14"/>
    <mergeCell ref="E15:F15"/>
    <mergeCell ref="G15:H15"/>
    <mergeCell ref="E16:F16"/>
    <mergeCell ref="D5:E5"/>
    <mergeCell ref="C15:D15"/>
    <mergeCell ref="C16:D16"/>
    <mergeCell ref="C17:D17"/>
    <mergeCell ref="C18:D18"/>
    <mergeCell ref="C19:D19"/>
    <mergeCell ref="C39:D39"/>
    <mergeCell ref="C40:D40"/>
    <mergeCell ref="B35:H35"/>
    <mergeCell ref="E36:F36"/>
    <mergeCell ref="G36:H36"/>
    <mergeCell ref="G39:H39"/>
    <mergeCell ref="E40:F40"/>
    <mergeCell ref="G40:H40"/>
    <mergeCell ref="E19:F19"/>
    <mergeCell ref="G19:H19"/>
    <mergeCell ref="M21:M22"/>
    <mergeCell ref="N21:N22"/>
    <mergeCell ref="C36:D36"/>
    <mergeCell ref="C37:D37"/>
    <mergeCell ref="C38:D38"/>
    <mergeCell ref="E38:F38"/>
    <mergeCell ref="G38:H38"/>
    <mergeCell ref="E37:F37"/>
    <mergeCell ref="G37:H37"/>
    <mergeCell ref="C41:E41"/>
    <mergeCell ref="C43:E43"/>
    <mergeCell ref="C45:E45"/>
    <mergeCell ref="C47:E47"/>
    <mergeCell ref="E39:F39"/>
    <mergeCell ref="F47:G47"/>
    <mergeCell ref="F41:G41"/>
    <mergeCell ref="F42:G42"/>
    <mergeCell ref="F43:G43"/>
    <mergeCell ref="F44:G44"/>
    <mergeCell ref="F45:G45"/>
  </mergeCells>
  <printOptions horizontalCentered="1"/>
  <pageMargins left="0.19685039370078741" right="0.19685039370078741" top="0.15748031496062992" bottom="0.31496062992125984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62</vt:i4>
      </vt:variant>
    </vt:vector>
  </HeadingPairs>
  <TitlesOfParts>
    <vt:vector size="62" baseType="lpstr">
      <vt:lpstr>айв.16</vt:lpstr>
      <vt:lpstr>айв. 18</vt:lpstr>
      <vt:lpstr>айв.20</vt:lpstr>
      <vt:lpstr>В Р 36</vt:lpstr>
      <vt:lpstr>Гр.1</vt:lpstr>
      <vt:lpstr>Гр.3</vt:lpstr>
      <vt:lpstr>Грес.7</vt:lpstr>
      <vt:lpstr>Гр.15</vt:lpstr>
      <vt:lpstr>Гр.17</vt:lpstr>
      <vt:lpstr>Гр.19</vt:lpstr>
      <vt:lpstr>дем.18</vt:lpstr>
      <vt:lpstr>дем.20</vt:lpstr>
      <vt:lpstr>дем.22</vt:lpstr>
      <vt:lpstr>дем.24</vt:lpstr>
      <vt:lpstr>зем.13</vt:lpstr>
      <vt:lpstr>зем. 15</vt:lpstr>
      <vt:lpstr>зем.22</vt:lpstr>
      <vt:lpstr>Зем.24</vt:lpstr>
      <vt:lpstr>либ.1</vt:lpstr>
      <vt:lpstr>либ.2</vt:lpstr>
      <vt:lpstr>либ.11</vt:lpstr>
      <vt:lpstr>либ.11а</vt:lpstr>
      <vt:lpstr>либ.12</vt:lpstr>
      <vt:lpstr>либ.17</vt:lpstr>
      <vt:lpstr>К.М.60</vt:lpstr>
      <vt:lpstr>К.М.62</vt:lpstr>
      <vt:lpstr>крас.19</vt:lpstr>
      <vt:lpstr>красноф.21</vt:lpstr>
      <vt:lpstr>Пич.1</vt:lpstr>
      <vt:lpstr>пич.3</vt:lpstr>
      <vt:lpstr>пич.5</vt:lpstr>
      <vt:lpstr>пич.9</vt:lpstr>
      <vt:lpstr>пич.9а</vt:lpstr>
      <vt:lpstr>пич.10</vt:lpstr>
      <vt:lpstr>пич.11</vt:lpstr>
      <vt:lpstr>пич.13</vt:lpstr>
      <vt:lpstr>пич.15</vt:lpstr>
      <vt:lpstr>пич.17</vt:lpstr>
      <vt:lpstr>пич.19</vt:lpstr>
      <vt:lpstr>пич.20</vt:lpstr>
      <vt:lpstr>пич.21</vt:lpstr>
      <vt:lpstr>пич.22</vt:lpstr>
      <vt:lpstr>пич.23</vt:lpstr>
      <vt:lpstr>пич.24</vt:lpstr>
      <vt:lpstr>люкс.2</vt:lpstr>
      <vt:lpstr>люкс.2а</vt:lpstr>
      <vt:lpstr>Северная 4</vt:lpstr>
      <vt:lpstr>сед.4а</vt:lpstr>
      <vt:lpstr>сед.8а</vt:lpstr>
      <vt:lpstr>сед.15</vt:lpstr>
      <vt:lpstr>сед.15а</vt:lpstr>
      <vt:lpstr>сед.21</vt:lpstr>
      <vt:lpstr>сед.23</vt:lpstr>
      <vt:lpstr>сед.25</vt:lpstr>
      <vt:lpstr>ст.раз.28</vt:lpstr>
      <vt:lpstr>тр.2а</vt:lpstr>
      <vt:lpstr>тр.4а</vt:lpstr>
      <vt:lpstr>тр.7а</vt:lpstr>
      <vt:lpstr>тр.36а</vt:lpstr>
      <vt:lpstr>тр.40а</vt:lpstr>
      <vt:lpstr>щорса 12</vt:lpstr>
      <vt:lpstr>щорса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2020-05-04T17:30:41Z</dcterms:modified>
</cp:coreProperties>
</file>